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Inventory" sheetId="2" state="visible" r:id="rId4"/>
    <sheet name="Loans Log" sheetId="3" state="visible" r:id="rId5"/>
    <sheet name="Annual Audit" sheetId="4" state="visible" r:id="rId6"/>
    <sheet name="Setup" sheetId="5" state="visible" r:id="rId7"/>
  </sheets>
  <definedNames>
    <definedName function="false" hidden="false" name="Categories" vbProcedure="false">Setup!$B$6:$B$21</definedName>
    <definedName function="false" hidden="false" name="Conditions" vbProcedure="false">Setup!$F$6:$F$10</definedName>
    <definedName function="false" hidden="false" name="Statuses" vbProcedure="false">Setup!$H$6:$H$10</definedName>
    <definedName function="false" hidden="false" name="Teams" vbProcedure="false">Setup!$D$6:$D$19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<sst xmlns="http://schemas.openxmlformats.org/spreadsheetml/2006/main" count="182" uniqueCount="122">
  <si>
    <t xml:space="preserve">CLUBSHED INVENTORY TEMPLATE</t>
  </si>
  <si>
    <t xml:space="preserve">A free spreadsheet for tracking grassroots football club equipment. Built by HVV Football Factory.</t>
  </si>
  <si>
    <t xml:space="preserve">WHAT'S IN THIS WORKBOOK</t>
  </si>
  <si>
    <t xml:space="preserve">Inventory</t>
  </si>
  <si>
    <t xml:space="preserve">Your master list. One row per item. Add a new row whenever you buy something. The Item ID column generates automatically.</t>
  </si>
  <si>
    <t xml:space="preserve">Loans Log</t>
  </si>
  <si>
    <t xml:space="preserve">Every check-out and check-in. When a coach takes something, log it here. When they return it, fill in the Returned date and the row turns green. Overdue rows turn red.</t>
  </si>
  <si>
    <t xml:space="preserve">Annual Audit</t>
  </si>
  <si>
    <t xml:space="preserve">Your end-of-season summary. Updates automatically as you fill in the Inventory sheet. Print this for committee meetings and grant applications.</t>
  </si>
  <si>
    <t xml:space="preserve">Setup</t>
  </si>
  <si>
    <t xml:space="preserve">The dropdown lists used in the other sheets. Edit this if you want different team names, categories, or condition descriptions.</t>
  </si>
  <si>
    <t xml:space="preserve">HOW TO USE THIS TEMPLATE</t>
  </si>
  <si>
    <t xml:space="preserve">1.  Open the Setup tab. Add your team names. The defaults are placeholders, swap them for your real teams.</t>
  </si>
  <si>
    <t xml:space="preserve">2.  Open the Inventory tab. Add a row for each item your club owns. Don't worry about being complete on day one, add as you go.</t>
  </si>
  <si>
    <t xml:space="preserve">3.  Each item gets a unique Item ID like CS-001. Print these on small stickers and stick them on the gear. A normal label printer or just a Sharpie on a piece of tape works.</t>
  </si>
  <si>
    <t xml:space="preserve">4.  When a coach takes equipment, add a row to the Loans Log with the date, Item ID, who took it, and when it's due back.</t>
  </si>
  <si>
    <t xml:space="preserve">5.  When they return it, fill in the Returned date in the same row. Done.</t>
  </si>
  <si>
    <t xml:space="preserve">6.  Once a year, open the Annual Audit tab. It summarises everything. Save a copy as PDF and send to your committee.</t>
  </si>
  <si>
    <t xml:space="preserve">OUTGROWN THIS SPREADSHEET?</t>
  </si>
  <si>
    <t xml:space="preserve">Spreadsheets work for one team. Beyond that they fall apart: no QR scanning, no phone-friendly check-outs, no automatic reminders, no audit PDFs that grant reviewers actually like.</t>
  </si>
  <si>
    <t xml:space="preserve">ClubShed picks up where this template leaves off. Free for one team and 30 items. No card needed.</t>
  </si>
  <si>
    <t xml:space="preserve">→ clubshed.pro</t>
  </si>
  <si>
    <t xml:space="preserve">INVENTORY</t>
  </si>
  <si>
    <t xml:space="preserve">Total items:</t>
  </si>
  <si>
    <t xml:space="preserve">One row per item. Item IDs auto-generate. Use the dropdowns to keep entries consistent.</t>
  </si>
  <si>
    <t xml:space="preserve">Item ID</t>
  </si>
  <si>
    <t xml:space="preserve">Name</t>
  </si>
  <si>
    <t xml:space="preserve">Category</t>
  </si>
  <si>
    <t xml:space="preserve">Team</t>
  </si>
  <si>
    <t xml:space="preserve">Location</t>
  </si>
  <si>
    <t xml:space="preserve">Condition</t>
  </si>
  <si>
    <t xml:space="preserve">Status</t>
  </si>
  <si>
    <t xml:space="preserve">QR sticker code</t>
  </si>
  <si>
    <t xml:space="preserve">Date added</t>
  </si>
  <si>
    <t xml:space="preserve">Notes</t>
  </si>
  <si>
    <t xml:space="preserve">Size 5 Mitre match ball</t>
  </si>
  <si>
    <t xml:space="preserve">Match balls</t>
  </si>
  <si>
    <t xml:space="preserve">U14s</t>
  </si>
  <si>
    <t xml:space="preserve">Main cupboard</t>
  </si>
  <si>
    <t xml:space="preserve">4 - Good</t>
  </si>
  <si>
    <t xml:space="preserve">In storage</t>
  </si>
  <si>
    <t xml:space="preserve">Bought August 2025</t>
  </si>
  <si>
    <t xml:space="preserve">Bibs set orange</t>
  </si>
  <si>
    <t xml:space="preserve">Bibs</t>
  </si>
  <si>
    <t xml:space="preserve">Unallocated</t>
  </si>
  <si>
    <t xml:space="preserve">5 - Excellent</t>
  </si>
  <si>
    <t xml:space="preserve">Set of 10</t>
  </si>
  <si>
    <t xml:space="preserve">Cones (20)</t>
  </si>
  <si>
    <t xml:space="preserve">Cones</t>
  </si>
  <si>
    <t xml:space="preserve">U12s</t>
  </si>
  <si>
    <t xml:space="preserve">Coach Marco's car</t>
  </si>
  <si>
    <t xml:space="preserve">3 - Worn</t>
  </si>
  <si>
    <t xml:space="preserve">Out with coach</t>
  </si>
  <si>
    <t xml:space="preserve">First aid kit</t>
  </si>
  <si>
    <t xml:space="preserve">First aid</t>
  </si>
  <si>
    <t xml:space="preserve">Clubhouse</t>
  </si>
  <si>
    <t xml:space="preserve">Check expiry dates Jun 2026</t>
  </si>
  <si>
    <t xml:space="preserve">LOANS LOG</t>
  </si>
  <si>
    <t xml:space="preserve">Currently out:</t>
  </si>
  <si>
    <t xml:space="preserve">Add a row when a coach takes something. Fill in Returned on when they bring it back. Item name auto-fills from Item ID.</t>
  </si>
  <si>
    <t xml:space="preserve">Date out</t>
  </si>
  <si>
    <t xml:space="preserve">Item name</t>
  </si>
  <si>
    <t xml:space="preserve">Coach</t>
  </si>
  <si>
    <t xml:space="preserve">Expected return</t>
  </si>
  <si>
    <t xml:space="preserve">Returned on</t>
  </si>
  <si>
    <t xml:space="preserve">Days overdue</t>
  </si>
  <si>
    <t xml:space="preserve">CS-003</t>
  </si>
  <si>
    <t xml:space="preserve">Coach Marco</t>
  </si>
  <si>
    <t xml:space="preserve">Took for Tuesday training</t>
  </si>
  <si>
    <t xml:space="preserve">CS-002</t>
  </si>
  <si>
    <t xml:space="preserve">Coach Sarah</t>
  </si>
  <si>
    <t xml:space="preserve">Returned next day</t>
  </si>
  <si>
    <t xml:space="preserve">ANNUAL AUDIT</t>
  </si>
  <si>
    <t xml:space="preserve">AT A GLANCE</t>
  </si>
  <si>
    <t xml:space="preserve">Total items</t>
  </si>
  <si>
    <t xml:space="preserve">Items in storage</t>
  </si>
  <si>
    <t xml:space="preserve">Items out</t>
  </si>
  <si>
    <t xml:space="preserve">Items lost</t>
  </si>
  <si>
    <t xml:space="preserve">Need replacing</t>
  </si>
  <si>
    <t xml:space="preserve">BY CATEGORY</t>
  </si>
  <si>
    <t xml:space="preserve">Total</t>
  </si>
  <si>
    <t xml:space="preserve">Out</t>
  </si>
  <si>
    <t xml:space="preserve">Lost</t>
  </si>
  <si>
    <t xml:space="preserve">Training balls</t>
  </si>
  <si>
    <t xml:space="preserve">Goalkeeper gloves</t>
  </si>
  <si>
    <t xml:space="preserve">Goalkeeper kit</t>
  </si>
  <si>
    <t xml:space="preserve">Match kit</t>
  </si>
  <si>
    <t xml:space="preserve">Training kit</t>
  </si>
  <si>
    <t xml:space="preserve">Pop-up goals</t>
  </si>
  <si>
    <t xml:space="preserve">Goal nets</t>
  </si>
  <si>
    <t xml:space="preserve">Whistles</t>
  </si>
  <si>
    <t xml:space="preserve">Ball pump</t>
  </si>
  <si>
    <t xml:space="preserve">Kit bags</t>
  </si>
  <si>
    <t xml:space="preserve">Equipment trolley</t>
  </si>
  <si>
    <t xml:space="preserve">Other</t>
  </si>
  <si>
    <t xml:space="preserve">TOTAL</t>
  </si>
  <si>
    <t xml:space="preserve">BY TEAM</t>
  </si>
  <si>
    <t xml:space="preserve">Items allocated</t>
  </si>
  <si>
    <t xml:space="preserve">U7s</t>
  </si>
  <si>
    <t xml:space="preserve">U8s</t>
  </si>
  <si>
    <t xml:space="preserve">U9s</t>
  </si>
  <si>
    <t xml:space="preserve">U10s</t>
  </si>
  <si>
    <t xml:space="preserve">U11s</t>
  </si>
  <si>
    <t xml:space="preserve">U13s</t>
  </si>
  <si>
    <t xml:space="preserve">U15s</t>
  </si>
  <si>
    <t xml:space="preserve">U16s</t>
  </si>
  <si>
    <t xml:space="preserve">U18s</t>
  </si>
  <si>
    <t xml:space="preserve">First Team</t>
  </si>
  <si>
    <t xml:space="preserve">Reserves</t>
  </si>
  <si>
    <t xml:space="preserve">NEXT STEPS</t>
  </si>
  <si>
    <t xml:space="preserve">Save this sheet as PDF (File → Download → PDF) before your end-of-season committee meeting. Attach it to grant applications as evidence of equipment tracking.</t>
  </si>
  <si>
    <t xml:space="preserve">Want a one-click PDF audit report formatted for FA Community Football Fund applications? Try ClubShed at clubshed.pro.</t>
  </si>
  <si>
    <t xml:space="preserve">SETUP</t>
  </si>
  <si>
    <t xml:space="preserve">Edit these lists to fit your club. Other sheets pull dropdowns from here.</t>
  </si>
  <si>
    <t xml:space="preserve">CATEGORIES</t>
  </si>
  <si>
    <t xml:space="preserve">TEAMS</t>
  </si>
  <si>
    <t xml:space="preserve">CONDITION</t>
  </si>
  <si>
    <t xml:space="preserve">STATUS</t>
  </si>
  <si>
    <t xml:space="preserve">2 - Damaged</t>
  </si>
  <si>
    <t xml:space="preserve">Retired</t>
  </si>
  <si>
    <t xml:space="preserve">1 - Needs replacing</t>
  </si>
  <si>
    <t xml:space="preserve">Damaged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</si>
</sst>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dd\ mmm\ yyyy"/>
    <numFmt numFmtId="167" formatCode="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A2E1F"/>
      <name val="Arial"/>
      <family val="0"/>
      <charset val="1"/>
    </font>
    <font>
      <sz val="10"/>
      <color rgb="FF6B665A"/>
      <name val="Arial"/>
      <family val="0"/>
      <charset val="1"/>
    </font>
    <font>
      <b val="true"/>
      <sz val="12"/>
      <color rgb="FF1A2E1F"/>
      <name val="Arial"/>
      <family val="0"/>
      <charset val="1"/>
    </font>
    <font>
      <b val="true"/>
      <sz val="11"/>
      <color rgb="FFE8552A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E8552A"/>
      <name val="Arial"/>
      <family val="0"/>
      <charset val="1"/>
    </font>
    <font>
      <b val="true"/>
      <sz val="18"/>
      <color rgb="FF1A2E1F"/>
      <name val="Arial"/>
      <family val="0"/>
      <charset val="1"/>
    </font>
    <font>
      <b val="true"/>
      <sz val="14"/>
      <color rgb="FFE8552A"/>
      <name val="Arial"/>
      <family val="0"/>
      <charset val="1"/>
    </font>
    <font>
      <i val="true"/>
      <sz val="9"/>
      <color rgb="FF6B665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6B665A"/>
      <name val="Arial"/>
      <family val="0"/>
      <charset val="1"/>
    </font>
    <font>
      <b val="true"/>
      <sz val="22"/>
      <color rgb="FF1A2E1F"/>
      <name val="Arial"/>
      <family val="0"/>
      <charset val="1"/>
    </font>
    <font>
      <b val="true"/>
      <sz val="22"/>
      <color rgb="FF4A8F5E"/>
      <name val="Arial"/>
      <family val="0"/>
      <charset val="1"/>
    </font>
    <font>
      <b val="true"/>
      <sz val="22"/>
      <color rgb="FFE8552A"/>
      <name val="Arial"/>
      <family val="0"/>
      <charset val="1"/>
    </font>
    <font>
      <b val="true"/>
      <sz val="22"/>
      <color rgb="FFD62828"/>
      <name val="Arial"/>
      <family val="0"/>
      <charset val="1"/>
    </font>
    <font>
      <b val="true"/>
      <sz val="11"/>
      <color rgb="FF1A2E1F"/>
      <name val="Arial"/>
      <family val="0"/>
      <charset val="1"/>
    </font>
    <font>
      <b val="true"/>
      <sz val="10"/>
      <color rgb="FFE8552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BE6DA"/>
        <bgColor rgb="FFE5E2DA"/>
      </patternFill>
    </fill>
    <fill>
      <patternFill patternType="solid">
        <fgColor rgb="FF1A2E1F"/>
        <bgColor rgb="FF33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6B665A"/>
      </left>
      <right style="thin">
        <color rgb="FF6B665A"/>
      </right>
      <top style="thin">
        <color rgb="FF6B665A"/>
      </top>
      <bottom style="thin">
        <color rgb="FF6B665A"/>
      </bottom>
      <diagonal/>
    </border>
    <border diagonalUp="false" diagonalDown="false">
      <left/>
      <right/>
      <top/>
      <bottom style="thin">
        <color rgb="FFE5E2DA"/>
      </bottom>
      <diagonal/>
    </border>
    <border diagonalUp="false" diagonalDown="false">
      <left/>
      <right/>
      <top style="thin">
        <color rgb="FF1A2E1F"/>
      </top>
      <bottom style="thin">
        <color rgb="FF1A2E1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8E2D0"/>
        </patternFill>
      </fill>
    </dxf>
    <dxf>
      <fill>
        <patternFill>
          <bgColor rgb="FFFFE6CC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6CC"/>
      <rgbColor rgb="FFEBE6DA"/>
      <rgbColor rgb="FF660066"/>
      <rgbColor rgb="FFFF8080"/>
      <rgbColor rgb="FF0066CC"/>
      <rgbColor rgb="FFE5E2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8E2D0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E8552A"/>
      <rgbColor rgb="FF6B665A"/>
      <rgbColor rgb="FF969696"/>
      <rgbColor rgb="FF003366"/>
      <rgbColor rgb="FF4A8F5E"/>
      <rgbColor rgb="FF003300"/>
      <rgbColor rgb="FF333300"/>
      <rgbColor rgb="FFD62828"/>
      <rgbColor rgb="FF993366"/>
      <rgbColor rgb="FF333399"/>
      <rgbColor rgb="FF1A2E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lubshed.pro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10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</row>
    <row r="8" customFormat="false" ht="31.5" hidden="false" customHeight="true" outlineLevel="0" collapsed="false">
      <c r="B8" s="5" t="s">
        <v>4</v>
      </c>
    </row>
    <row r="10" customFormat="false" ht="15" hidden="false" customHeight="false" outlineLevel="0" collapsed="false">
      <c r="B10" s="4" t="s">
        <v>5</v>
      </c>
    </row>
    <row r="11" customFormat="false" ht="31.5" hidden="false" customHeight="true" outlineLevel="0" collapsed="false">
      <c r="B11" s="5" t="s">
        <v>6</v>
      </c>
    </row>
    <row r="13" customFormat="false" ht="15" hidden="false" customHeight="false" outlineLevel="0" collapsed="false">
      <c r="B13" s="4" t="s">
        <v>7</v>
      </c>
    </row>
    <row r="14" customFormat="false" ht="31.5" hidden="false" customHeight="true" outlineLevel="0" collapsed="false">
      <c r="B14" s="5" t="s">
        <v>8</v>
      </c>
    </row>
    <row r="16" customFormat="false" ht="15" hidden="false" customHeight="false" outlineLevel="0" collapsed="false">
      <c r="B16" s="4" t="s">
        <v>9</v>
      </c>
    </row>
    <row r="17" customFormat="false" ht="31.5" hidden="false" customHeight="true" outlineLevel="0" collapsed="false">
      <c r="B17" s="5" t="s">
        <v>10</v>
      </c>
    </row>
    <row r="20" customFormat="false" ht="15" hidden="false" customHeight="false" outlineLevel="0" collapsed="false">
      <c r="B20" s="3" t="s">
        <v>11</v>
      </c>
    </row>
    <row r="22" customFormat="false" ht="30" hidden="false" customHeight="true" outlineLevel="0" collapsed="false">
      <c r="B22" s="5" t="s">
        <v>12</v>
      </c>
    </row>
    <row r="23" customFormat="false" ht="30" hidden="false" customHeight="true" outlineLevel="0" collapsed="false">
      <c r="B23" s="5" t="s">
        <v>13</v>
      </c>
    </row>
    <row r="24" customFormat="false" ht="30" hidden="false" customHeight="true" outlineLevel="0" collapsed="false">
      <c r="B24" s="5" t="s">
        <v>14</v>
      </c>
    </row>
    <row r="25" customFormat="false" ht="30" hidden="false" customHeight="true" outlineLevel="0" collapsed="false">
      <c r="B25" s="5" t="s">
        <v>15</v>
      </c>
    </row>
    <row r="26" customFormat="false" ht="30" hidden="false" customHeight="true" outlineLevel="0" collapsed="false">
      <c r="B26" s="5" t="s">
        <v>16</v>
      </c>
    </row>
    <row r="27" customFormat="false" ht="30" hidden="false" customHeight="true" outlineLevel="0" collapsed="false">
      <c r="B27" s="5" t="s">
        <v>17</v>
      </c>
    </row>
    <row r="30" customFormat="false" ht="15" hidden="false" customHeight="false" outlineLevel="0" collapsed="false">
      <c r="B30" s="3" t="s">
        <v>18</v>
      </c>
    </row>
    <row r="32" customFormat="false" ht="36" hidden="false" customHeight="true" outlineLevel="0" collapsed="false">
      <c r="B32" s="5" t="s">
        <v>19</v>
      </c>
    </row>
    <row r="34" customFormat="false" ht="24" hidden="false" customHeight="true" outlineLevel="0" collapsed="false">
      <c r="B34" s="5" t="s">
        <v>20</v>
      </c>
    </row>
    <row r="35" customFormat="false" ht="15" hidden="false" customHeight="false" outlineLevel="0" collapsed="false">
      <c r="B35" s="6" t="s">
        <v>21</v>
      </c>
    </row>
  </sheetData>
  <hyperlinks>
    <hyperlink ref="B35" r:id="rId1" display="→ clubshed.pro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4" min="4" style="0" width="14"/>
    <col collapsed="false" customWidth="true" hidden="false" outlineLevel="0" max="7" min="5" style="0" width="18"/>
    <col collapsed="false" customWidth="true" hidden="false" outlineLevel="0" max="8" min="8" style="0" width="16"/>
    <col collapsed="false" customWidth="true" hidden="false" outlineLevel="0" max="9" min="9" style="0" width="13"/>
    <col collapsed="false" customWidth="true" hidden="false" outlineLevel="0" max="10" min="10" style="0" width="35"/>
  </cols>
  <sheetData>
    <row r="1" customFormat="false" ht="22.05" hidden="false" customHeight="false" outlineLevel="0" collapsed="false">
      <c r="A1" s="7" t="s">
        <v>22</v>
      </c>
      <c r="B1" s="7"/>
      <c r="C1" s="7"/>
      <c r="D1" s="7"/>
      <c r="E1" s="7"/>
      <c r="F1" s="8" t="s">
        <v>23</v>
      </c>
      <c r="G1" s="8"/>
      <c r="H1" s="9" t="n">
        <f aca="false">COUNTA(B4:B1000)</f>
        <v>4</v>
      </c>
    </row>
    <row r="2" customFormat="false" ht="19.5" hidden="false" customHeight="true" outlineLevel="0" collapsed="false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</row>
    <row r="3" customFormat="false" ht="25.5" hidden="false" customHeight="true" outlineLevel="0" collapsed="false">
      <c r="A3" s="11" t="s">
        <v>25</v>
      </c>
      <c r="B3" s="11" t="s">
        <v>26</v>
      </c>
      <c r="C3" s="11" t="s">
        <v>27</v>
      </c>
      <c r="D3" s="11" t="s">
        <v>28</v>
      </c>
      <c r="E3" s="11" t="s">
        <v>29</v>
      </c>
      <c r="F3" s="11" t="s">
        <v>30</v>
      </c>
      <c r="G3" s="11" t="s">
        <v>31</v>
      </c>
      <c r="H3" s="11" t="s">
        <v>32</v>
      </c>
      <c r="I3" s="11" t="s">
        <v>33</v>
      </c>
      <c r="J3" s="11" t="s">
        <v>34</v>
      </c>
    </row>
    <row r="4" customFormat="false" ht="15" hidden="false" customHeight="false" outlineLevel="0" collapsed="false">
      <c r="A4" s="12" t="str">
        <f aca="false">IF(B4&lt;&gt;"","CS-"&amp;TEXT(1,"000"),"")</f>
        <v>CS-001</v>
      </c>
      <c r="B4" s="13" t="s">
        <v>35</v>
      </c>
      <c r="C4" s="13" t="s">
        <v>36</v>
      </c>
      <c r="D4" s="13" t="s">
        <v>37</v>
      </c>
      <c r="E4" s="13" t="s">
        <v>38</v>
      </c>
      <c r="F4" s="13" t="s">
        <v>39</v>
      </c>
      <c r="G4" s="13" t="s">
        <v>40</v>
      </c>
      <c r="H4" s="13"/>
      <c r="I4" s="14" t="n">
        <f aca="true">TODAY()</f>
        <v>46165</v>
      </c>
      <c r="J4" s="13" t="s">
        <v>41</v>
      </c>
    </row>
    <row r="5" customFormat="false" ht="15" hidden="false" customHeight="false" outlineLevel="0" collapsed="false">
      <c r="A5" s="12" t="str">
        <f aca="false">IF(B5&lt;&gt;"","CS-"&amp;TEXT(2,"000"),"")</f>
        <v>CS-002</v>
      </c>
      <c r="B5" s="13" t="s">
        <v>42</v>
      </c>
      <c r="C5" s="13" t="s">
        <v>43</v>
      </c>
      <c r="D5" s="13" t="s">
        <v>44</v>
      </c>
      <c r="E5" s="13" t="s">
        <v>38</v>
      </c>
      <c r="F5" s="13" t="s">
        <v>45</v>
      </c>
      <c r="G5" s="13" t="s">
        <v>40</v>
      </c>
      <c r="H5" s="13"/>
      <c r="I5" s="14" t="n">
        <f aca="true">TODAY()</f>
        <v>46165</v>
      </c>
      <c r="J5" s="13" t="s">
        <v>46</v>
      </c>
    </row>
    <row r="6" customFormat="false" ht="15" hidden="false" customHeight="false" outlineLevel="0" collapsed="false">
      <c r="A6" s="12" t="str">
        <f aca="false">IF(B6&lt;&gt;"","CS-"&amp;TEXT(3,"000"),"")</f>
        <v>CS-003</v>
      </c>
      <c r="B6" s="13" t="s">
        <v>47</v>
      </c>
      <c r="C6" s="13" t="s">
        <v>48</v>
      </c>
      <c r="D6" s="13" t="s">
        <v>49</v>
      </c>
      <c r="E6" s="13" t="s">
        <v>50</v>
      </c>
      <c r="F6" s="13" t="s">
        <v>51</v>
      </c>
      <c r="G6" s="13" t="s">
        <v>52</v>
      </c>
      <c r="H6" s="13"/>
      <c r="I6" s="14" t="n">
        <f aca="true">TODAY()</f>
        <v>46165</v>
      </c>
      <c r="J6" s="13"/>
    </row>
    <row r="7" customFormat="false" ht="15" hidden="false" customHeight="false" outlineLevel="0" collapsed="false">
      <c r="A7" s="12" t="str">
        <f aca="false">IF(B7&lt;&gt;"","CS-"&amp;TEXT(4,"000"),"")</f>
        <v>CS-004</v>
      </c>
      <c r="B7" s="13" t="s">
        <v>53</v>
      </c>
      <c r="C7" s="13" t="s">
        <v>54</v>
      </c>
      <c r="D7" s="13" t="s">
        <v>44</v>
      </c>
      <c r="E7" s="13" t="s">
        <v>55</v>
      </c>
      <c r="F7" s="13" t="s">
        <v>39</v>
      </c>
      <c r="G7" s="13" t="s">
        <v>40</v>
      </c>
      <c r="H7" s="13"/>
      <c r="I7" s="14" t="n">
        <f aca="true">TODAY()</f>
        <v>46165</v>
      </c>
      <c r="J7" s="13" t="s">
        <v>56</v>
      </c>
    </row>
    <row r="8" customFormat="false" ht="15" hidden="false" customHeight="false" outlineLevel="0" collapsed="false">
      <c r="A8" s="12" t="str">
        <f aca="false">IF(B8&lt;&gt;"","CS-"&amp;TEXT(5,"000"),"")</f>
        <v/>
      </c>
      <c r="B8" s="13"/>
      <c r="C8" s="13"/>
      <c r="D8" s="13"/>
      <c r="E8" s="13"/>
      <c r="F8" s="13"/>
      <c r="G8" s="13"/>
      <c r="H8" s="13"/>
      <c r="I8" s="14"/>
      <c r="J8" s="13"/>
    </row>
    <row r="9" customFormat="false" ht="15" hidden="false" customHeight="false" outlineLevel="0" collapsed="false">
      <c r="A9" s="12" t="str">
        <f aca="false">IF(B9&lt;&gt;"","CS-"&amp;TEXT(6,"000"),"")</f>
        <v/>
      </c>
      <c r="B9" s="13"/>
      <c r="C9" s="13"/>
      <c r="D9" s="13"/>
      <c r="E9" s="13"/>
      <c r="F9" s="13"/>
      <c r="G9" s="13"/>
      <c r="H9" s="13"/>
      <c r="I9" s="14"/>
      <c r="J9" s="13"/>
    </row>
    <row r="10" customFormat="false" ht="15" hidden="false" customHeight="false" outlineLevel="0" collapsed="false">
      <c r="A10" s="12" t="str">
        <f aca="false">IF(B10&lt;&gt;"","CS-"&amp;TEXT(7,"000"),"")</f>
        <v/>
      </c>
      <c r="B10" s="13"/>
      <c r="C10" s="13"/>
      <c r="D10" s="13"/>
      <c r="E10" s="13"/>
      <c r="F10" s="13"/>
      <c r="G10" s="13"/>
      <c r="H10" s="13"/>
      <c r="I10" s="14"/>
      <c r="J10" s="13"/>
    </row>
    <row r="11" customFormat="false" ht="15" hidden="false" customHeight="false" outlineLevel="0" collapsed="false">
      <c r="A11" s="12" t="str">
        <f aca="false">IF(B11&lt;&gt;"","CS-"&amp;TEXT(8,"000"),"")</f>
        <v/>
      </c>
      <c r="B11" s="13"/>
      <c r="C11" s="13"/>
      <c r="D11" s="13"/>
      <c r="E11" s="13"/>
      <c r="F11" s="13"/>
      <c r="G11" s="13"/>
      <c r="H11" s="13"/>
      <c r="I11" s="14"/>
      <c r="J11" s="13"/>
    </row>
    <row r="12" customFormat="false" ht="15" hidden="false" customHeight="false" outlineLevel="0" collapsed="false">
      <c r="A12" s="12" t="str">
        <f aca="false">IF(B12&lt;&gt;"","CS-"&amp;TEXT(9,"000"),"")</f>
        <v/>
      </c>
      <c r="B12" s="13"/>
      <c r="C12" s="13"/>
      <c r="D12" s="13"/>
      <c r="E12" s="13"/>
      <c r="F12" s="13"/>
      <c r="G12" s="13"/>
      <c r="H12" s="13"/>
      <c r="I12" s="14"/>
      <c r="J12" s="13"/>
    </row>
    <row r="13" customFormat="false" ht="15" hidden="false" customHeight="false" outlineLevel="0" collapsed="false">
      <c r="A13" s="12" t="str">
        <f aca="false">IF(B13&lt;&gt;"","CS-"&amp;TEXT(10,"000"),"")</f>
        <v/>
      </c>
      <c r="B13" s="13"/>
      <c r="C13" s="13"/>
      <c r="D13" s="13"/>
      <c r="E13" s="13"/>
      <c r="F13" s="13"/>
      <c r="G13" s="13"/>
      <c r="H13" s="13"/>
      <c r="I13" s="14"/>
      <c r="J13" s="13"/>
    </row>
    <row r="14" customFormat="false" ht="15" hidden="false" customHeight="false" outlineLevel="0" collapsed="false">
      <c r="A14" s="12" t="str">
        <f aca="false">IF(B14&lt;&gt;"","CS-"&amp;TEXT(11,"000"),"")</f>
        <v/>
      </c>
      <c r="B14" s="13"/>
      <c r="C14" s="13"/>
      <c r="D14" s="13"/>
      <c r="E14" s="13"/>
      <c r="F14" s="13"/>
      <c r="G14" s="13"/>
      <c r="H14" s="13"/>
      <c r="I14" s="14"/>
      <c r="J14" s="13"/>
    </row>
    <row r="15" customFormat="false" ht="15" hidden="false" customHeight="false" outlineLevel="0" collapsed="false">
      <c r="A15" s="12" t="str">
        <f aca="false">IF(B15&lt;&gt;"","CS-"&amp;TEXT(12,"000"),"")</f>
        <v/>
      </c>
      <c r="B15" s="13"/>
      <c r="C15" s="13"/>
      <c r="D15" s="13"/>
      <c r="E15" s="13"/>
      <c r="F15" s="13"/>
      <c r="G15" s="13"/>
      <c r="H15" s="13"/>
      <c r="I15" s="14"/>
      <c r="J15" s="13"/>
    </row>
    <row r="16" customFormat="false" ht="15" hidden="false" customHeight="false" outlineLevel="0" collapsed="false">
      <c r="A16" s="12" t="str">
        <f aca="false">IF(B16&lt;&gt;"","CS-"&amp;TEXT(13,"000"),"")</f>
        <v/>
      </c>
      <c r="B16" s="13"/>
      <c r="C16" s="13"/>
      <c r="D16" s="13"/>
      <c r="E16" s="13"/>
      <c r="F16" s="13"/>
      <c r="G16" s="13"/>
      <c r="H16" s="13"/>
      <c r="I16" s="14"/>
      <c r="J16" s="13"/>
    </row>
    <row r="17" customFormat="false" ht="15" hidden="false" customHeight="false" outlineLevel="0" collapsed="false">
      <c r="A17" s="12" t="str">
        <f aca="false">IF(B17&lt;&gt;"","CS-"&amp;TEXT(14,"000"),"")</f>
        <v/>
      </c>
      <c r="B17" s="13"/>
      <c r="C17" s="13"/>
      <c r="D17" s="13"/>
      <c r="E17" s="13"/>
      <c r="F17" s="13"/>
      <c r="G17" s="13"/>
      <c r="H17" s="13"/>
      <c r="I17" s="14"/>
      <c r="J17" s="13"/>
    </row>
    <row r="18" customFormat="false" ht="15" hidden="false" customHeight="false" outlineLevel="0" collapsed="false">
      <c r="A18" s="12" t="str">
        <f aca="false">IF(B18&lt;&gt;"","CS-"&amp;TEXT(15,"000"),"")</f>
        <v/>
      </c>
      <c r="B18" s="13"/>
      <c r="C18" s="13"/>
      <c r="D18" s="13"/>
      <c r="E18" s="13"/>
      <c r="F18" s="13"/>
      <c r="G18" s="13"/>
      <c r="H18" s="13"/>
      <c r="I18" s="14"/>
      <c r="J18" s="13"/>
    </row>
    <row r="19" customFormat="false" ht="15" hidden="false" customHeight="false" outlineLevel="0" collapsed="false">
      <c r="A19" s="12" t="str">
        <f aca="false">IF(B19&lt;&gt;"","CS-"&amp;TEXT(16,"000"),"")</f>
        <v/>
      </c>
      <c r="B19" s="13"/>
      <c r="C19" s="13"/>
      <c r="D19" s="13"/>
      <c r="E19" s="13"/>
      <c r="F19" s="13"/>
      <c r="G19" s="13"/>
      <c r="H19" s="13"/>
      <c r="I19" s="14"/>
      <c r="J19" s="13"/>
    </row>
    <row r="20" customFormat="false" ht="15" hidden="false" customHeight="false" outlineLevel="0" collapsed="false">
      <c r="A20" s="12" t="str">
        <f aca="false">IF(B20&lt;&gt;"","CS-"&amp;TEXT(17,"000"),"")</f>
        <v/>
      </c>
      <c r="B20" s="13"/>
      <c r="C20" s="13"/>
      <c r="D20" s="13"/>
      <c r="E20" s="13"/>
      <c r="F20" s="13"/>
      <c r="G20" s="13"/>
      <c r="H20" s="13"/>
      <c r="I20" s="14"/>
      <c r="J20" s="13"/>
    </row>
    <row r="21" customFormat="false" ht="15" hidden="false" customHeight="false" outlineLevel="0" collapsed="false">
      <c r="A21" s="12" t="str">
        <f aca="false">IF(B21&lt;&gt;"","CS-"&amp;TEXT(18,"000"),"")</f>
        <v/>
      </c>
      <c r="B21" s="13"/>
      <c r="C21" s="13"/>
      <c r="D21" s="13"/>
      <c r="E21" s="13"/>
      <c r="F21" s="13"/>
      <c r="G21" s="13"/>
      <c r="H21" s="13"/>
      <c r="I21" s="14"/>
      <c r="J21" s="13"/>
    </row>
    <row r="22" customFormat="false" ht="15" hidden="false" customHeight="false" outlineLevel="0" collapsed="false">
      <c r="A22" s="12" t="str">
        <f aca="false">IF(B22&lt;&gt;"","CS-"&amp;TEXT(19,"000"),"")</f>
        <v/>
      </c>
      <c r="B22" s="13"/>
      <c r="C22" s="13"/>
      <c r="D22" s="13"/>
      <c r="E22" s="13"/>
      <c r="F22" s="13"/>
      <c r="G22" s="13"/>
      <c r="H22" s="13"/>
      <c r="I22" s="14"/>
      <c r="J22" s="13"/>
    </row>
    <row r="23" customFormat="false" ht="15" hidden="false" customHeight="false" outlineLevel="0" collapsed="false">
      <c r="A23" s="12" t="str">
        <f aca="false">IF(B23&lt;&gt;"","CS-"&amp;TEXT(20,"000"),"")</f>
        <v/>
      </c>
      <c r="B23" s="13"/>
      <c r="C23" s="13"/>
      <c r="D23" s="13"/>
      <c r="E23" s="13"/>
      <c r="F23" s="13"/>
      <c r="G23" s="13"/>
      <c r="H23" s="13"/>
      <c r="I23" s="14"/>
      <c r="J23" s="13"/>
    </row>
    <row r="24" customFormat="false" ht="15" hidden="false" customHeight="false" outlineLevel="0" collapsed="false">
      <c r="A24" s="12" t="str">
        <f aca="false">IF(B24&lt;&gt;"","CS-"&amp;TEXT(21,"000"),"")</f>
        <v/>
      </c>
      <c r="B24" s="13"/>
      <c r="C24" s="13"/>
      <c r="D24" s="13"/>
      <c r="E24" s="13"/>
      <c r="F24" s="13"/>
      <c r="G24" s="13"/>
      <c r="H24" s="13"/>
      <c r="I24" s="14"/>
      <c r="J24" s="13"/>
    </row>
    <row r="25" customFormat="false" ht="15" hidden="false" customHeight="false" outlineLevel="0" collapsed="false">
      <c r="A25" s="12" t="str">
        <f aca="false">IF(B25&lt;&gt;"","CS-"&amp;TEXT(22,"000"),"")</f>
        <v/>
      </c>
      <c r="B25" s="13"/>
      <c r="C25" s="13"/>
      <c r="D25" s="13"/>
      <c r="E25" s="13"/>
      <c r="F25" s="13"/>
      <c r="G25" s="13"/>
      <c r="H25" s="13"/>
      <c r="I25" s="14"/>
      <c r="J25" s="13"/>
    </row>
    <row r="26" customFormat="false" ht="15" hidden="false" customHeight="false" outlineLevel="0" collapsed="false">
      <c r="A26" s="12" t="str">
        <f aca="false">IF(B26&lt;&gt;"","CS-"&amp;TEXT(23,"000"),"")</f>
        <v/>
      </c>
      <c r="B26" s="13"/>
      <c r="C26" s="13"/>
      <c r="D26" s="13"/>
      <c r="E26" s="13"/>
      <c r="F26" s="13"/>
      <c r="G26" s="13"/>
      <c r="H26" s="13"/>
      <c r="I26" s="14"/>
      <c r="J26" s="13"/>
    </row>
    <row r="27" customFormat="false" ht="15" hidden="false" customHeight="false" outlineLevel="0" collapsed="false">
      <c r="A27" s="12" t="str">
        <f aca="false">IF(B27&lt;&gt;"","CS-"&amp;TEXT(24,"000"),"")</f>
        <v/>
      </c>
      <c r="B27" s="13"/>
      <c r="C27" s="13"/>
      <c r="D27" s="13"/>
      <c r="E27" s="13"/>
      <c r="F27" s="13"/>
      <c r="G27" s="13"/>
      <c r="H27" s="13"/>
      <c r="I27" s="14"/>
      <c r="J27" s="13"/>
    </row>
    <row r="28" customFormat="false" ht="15" hidden="false" customHeight="false" outlineLevel="0" collapsed="false">
      <c r="A28" s="12" t="str">
        <f aca="false">IF(B28&lt;&gt;"","CS-"&amp;TEXT(25,"000"),"")</f>
        <v/>
      </c>
      <c r="B28" s="13"/>
      <c r="C28" s="13"/>
      <c r="D28" s="13"/>
      <c r="E28" s="13"/>
      <c r="F28" s="13"/>
      <c r="G28" s="13"/>
      <c r="H28" s="13"/>
      <c r="I28" s="14"/>
      <c r="J28" s="13"/>
    </row>
    <row r="29" customFormat="false" ht="15" hidden="false" customHeight="false" outlineLevel="0" collapsed="false">
      <c r="A29" s="12" t="str">
        <f aca="false">IF(B29&lt;&gt;"","CS-"&amp;TEXT(26,"000"),"")</f>
        <v/>
      </c>
      <c r="B29" s="13"/>
      <c r="C29" s="13"/>
      <c r="D29" s="13"/>
      <c r="E29" s="13"/>
      <c r="F29" s="13"/>
      <c r="G29" s="13"/>
      <c r="H29" s="13"/>
      <c r="I29" s="14"/>
      <c r="J29" s="13"/>
    </row>
    <row r="30" customFormat="false" ht="15" hidden="false" customHeight="false" outlineLevel="0" collapsed="false">
      <c r="A30" s="12" t="str">
        <f aca="false">IF(B30&lt;&gt;"","CS-"&amp;TEXT(27,"000"),"")</f>
        <v/>
      </c>
      <c r="B30" s="13"/>
      <c r="C30" s="13"/>
      <c r="D30" s="13"/>
      <c r="E30" s="13"/>
      <c r="F30" s="13"/>
      <c r="G30" s="13"/>
      <c r="H30" s="13"/>
      <c r="I30" s="14"/>
      <c r="J30" s="13"/>
    </row>
    <row r="31" customFormat="false" ht="15" hidden="false" customHeight="false" outlineLevel="0" collapsed="false">
      <c r="A31" s="12" t="str">
        <f aca="false">IF(B31&lt;&gt;"","CS-"&amp;TEXT(28,"000"),"")</f>
        <v/>
      </c>
      <c r="B31" s="13"/>
      <c r="C31" s="13"/>
      <c r="D31" s="13"/>
      <c r="E31" s="13"/>
      <c r="F31" s="13"/>
      <c r="G31" s="13"/>
      <c r="H31" s="13"/>
      <c r="I31" s="14"/>
      <c r="J31" s="13"/>
    </row>
    <row r="32" customFormat="false" ht="15" hidden="false" customHeight="false" outlineLevel="0" collapsed="false">
      <c r="A32" s="12" t="str">
        <f aca="false">IF(B32&lt;&gt;"","CS-"&amp;TEXT(29,"000"),"")</f>
        <v/>
      </c>
      <c r="B32" s="13"/>
      <c r="C32" s="13"/>
      <c r="D32" s="13"/>
      <c r="E32" s="13"/>
      <c r="F32" s="13"/>
      <c r="G32" s="13"/>
      <c r="H32" s="13"/>
      <c r="I32" s="14"/>
      <c r="J32" s="13"/>
    </row>
    <row r="33" customFormat="false" ht="15" hidden="false" customHeight="false" outlineLevel="0" collapsed="false">
      <c r="A33" s="12" t="str">
        <f aca="false">IF(B33&lt;&gt;"","CS-"&amp;TEXT(30,"000"),"")</f>
        <v/>
      </c>
      <c r="B33" s="13"/>
      <c r="C33" s="13"/>
      <c r="D33" s="13"/>
      <c r="E33" s="13"/>
      <c r="F33" s="13"/>
      <c r="G33" s="13"/>
      <c r="H33" s="13"/>
      <c r="I33" s="14"/>
      <c r="J33" s="13"/>
    </row>
    <row r="34" customFormat="false" ht="15" hidden="false" customHeight="false" outlineLevel="0" collapsed="false">
      <c r="A34" s="12" t="str">
        <f aca="false">IF(B34&lt;&gt;"","CS-"&amp;TEXT(31,"000"),"")</f>
        <v/>
      </c>
      <c r="B34" s="13"/>
      <c r="C34" s="13"/>
      <c r="D34" s="13"/>
      <c r="E34" s="13"/>
      <c r="F34" s="13"/>
      <c r="G34" s="13"/>
      <c r="H34" s="13"/>
      <c r="I34" s="14"/>
      <c r="J34" s="13"/>
    </row>
    <row r="35" customFormat="false" ht="15" hidden="false" customHeight="false" outlineLevel="0" collapsed="false">
      <c r="A35" s="12" t="str">
        <f aca="false">IF(B35&lt;&gt;"","CS-"&amp;TEXT(32,"000"),"")</f>
        <v/>
      </c>
      <c r="B35" s="13"/>
      <c r="C35" s="13"/>
      <c r="D35" s="13"/>
      <c r="E35" s="13"/>
      <c r="F35" s="13"/>
      <c r="G35" s="13"/>
      <c r="H35" s="13"/>
      <c r="I35" s="14"/>
      <c r="J35" s="13"/>
    </row>
    <row r="36" customFormat="false" ht="15" hidden="false" customHeight="false" outlineLevel="0" collapsed="false">
      <c r="A36" s="12" t="str">
        <f aca="false">IF(B36&lt;&gt;"","CS-"&amp;TEXT(33,"000"),"")</f>
        <v/>
      </c>
      <c r="B36" s="13"/>
      <c r="C36" s="13"/>
      <c r="D36" s="13"/>
      <c r="E36" s="13"/>
      <c r="F36" s="13"/>
      <c r="G36" s="13"/>
      <c r="H36" s="13"/>
      <c r="I36" s="14"/>
      <c r="J36" s="13"/>
    </row>
    <row r="37" customFormat="false" ht="15" hidden="false" customHeight="false" outlineLevel="0" collapsed="false">
      <c r="A37" s="12" t="str">
        <f aca="false">IF(B37&lt;&gt;"","CS-"&amp;TEXT(34,"000"),"")</f>
        <v/>
      </c>
      <c r="B37" s="13"/>
      <c r="C37" s="13"/>
      <c r="D37" s="13"/>
      <c r="E37" s="13"/>
      <c r="F37" s="13"/>
      <c r="G37" s="13"/>
      <c r="H37" s="13"/>
      <c r="I37" s="14"/>
      <c r="J37" s="13"/>
    </row>
    <row r="38" customFormat="false" ht="15" hidden="false" customHeight="false" outlineLevel="0" collapsed="false">
      <c r="A38" s="12" t="str">
        <f aca="false">IF(B38&lt;&gt;"","CS-"&amp;TEXT(35,"000"),"")</f>
        <v/>
      </c>
      <c r="B38" s="13"/>
      <c r="C38" s="13"/>
      <c r="D38" s="13"/>
      <c r="E38" s="13"/>
      <c r="F38" s="13"/>
      <c r="G38" s="13"/>
      <c r="H38" s="13"/>
      <c r="I38" s="14"/>
      <c r="J38" s="13"/>
    </row>
    <row r="39" customFormat="false" ht="15" hidden="false" customHeight="false" outlineLevel="0" collapsed="false">
      <c r="A39" s="12" t="str">
        <f aca="false">IF(B39&lt;&gt;"","CS-"&amp;TEXT(36,"000"),"")</f>
        <v/>
      </c>
      <c r="B39" s="13"/>
      <c r="C39" s="13"/>
      <c r="D39" s="13"/>
      <c r="E39" s="13"/>
      <c r="F39" s="13"/>
      <c r="G39" s="13"/>
      <c r="H39" s="13"/>
      <c r="I39" s="14"/>
      <c r="J39" s="13"/>
    </row>
    <row r="40" customFormat="false" ht="15" hidden="false" customHeight="false" outlineLevel="0" collapsed="false">
      <c r="A40" s="12" t="str">
        <f aca="false">IF(B40&lt;&gt;"","CS-"&amp;TEXT(37,"000"),"")</f>
        <v/>
      </c>
      <c r="B40" s="13"/>
      <c r="C40" s="13"/>
      <c r="D40" s="13"/>
      <c r="E40" s="13"/>
      <c r="F40" s="13"/>
      <c r="G40" s="13"/>
      <c r="H40" s="13"/>
      <c r="I40" s="14"/>
      <c r="J40" s="13"/>
    </row>
    <row r="41" customFormat="false" ht="15" hidden="false" customHeight="false" outlineLevel="0" collapsed="false">
      <c r="A41" s="12" t="str">
        <f aca="false">IF(B41&lt;&gt;"","CS-"&amp;TEXT(38,"000"),"")</f>
        <v/>
      </c>
      <c r="B41" s="13"/>
      <c r="C41" s="13"/>
      <c r="D41" s="13"/>
      <c r="E41" s="13"/>
      <c r="F41" s="13"/>
      <c r="G41" s="13"/>
      <c r="H41" s="13"/>
      <c r="I41" s="14"/>
      <c r="J41" s="13"/>
    </row>
    <row r="42" customFormat="false" ht="15" hidden="false" customHeight="false" outlineLevel="0" collapsed="false">
      <c r="A42" s="12" t="str">
        <f aca="false">IF(B42&lt;&gt;"","CS-"&amp;TEXT(39,"000"),"")</f>
        <v/>
      </c>
      <c r="B42" s="13"/>
      <c r="C42" s="13"/>
      <c r="D42" s="13"/>
      <c r="E42" s="13"/>
      <c r="F42" s="13"/>
      <c r="G42" s="13"/>
      <c r="H42" s="13"/>
      <c r="I42" s="14"/>
      <c r="J42" s="13"/>
    </row>
    <row r="43" customFormat="false" ht="15" hidden="false" customHeight="false" outlineLevel="0" collapsed="false">
      <c r="A43" s="12" t="str">
        <f aca="false">IF(B43&lt;&gt;"","CS-"&amp;TEXT(40,"000"),"")</f>
        <v/>
      </c>
      <c r="B43" s="13"/>
      <c r="C43" s="13"/>
      <c r="D43" s="13"/>
      <c r="E43" s="13"/>
      <c r="F43" s="13"/>
      <c r="G43" s="13"/>
      <c r="H43" s="13"/>
      <c r="I43" s="14"/>
      <c r="J43" s="13"/>
    </row>
    <row r="44" customFormat="false" ht="15" hidden="false" customHeight="false" outlineLevel="0" collapsed="false">
      <c r="A44" s="12" t="str">
        <f aca="false">IF(B44&lt;&gt;"","CS-"&amp;TEXT(41,"000"),"")</f>
        <v/>
      </c>
      <c r="B44" s="13"/>
      <c r="C44" s="13"/>
      <c r="D44" s="13"/>
      <c r="E44" s="13"/>
      <c r="F44" s="13"/>
      <c r="G44" s="13"/>
      <c r="H44" s="13"/>
      <c r="I44" s="14"/>
      <c r="J44" s="13"/>
    </row>
    <row r="45" customFormat="false" ht="15" hidden="false" customHeight="false" outlineLevel="0" collapsed="false">
      <c r="A45" s="12" t="str">
        <f aca="false">IF(B45&lt;&gt;"","CS-"&amp;TEXT(42,"000"),"")</f>
        <v/>
      </c>
      <c r="B45" s="13"/>
      <c r="C45" s="13"/>
      <c r="D45" s="13"/>
      <c r="E45" s="13"/>
      <c r="F45" s="13"/>
      <c r="G45" s="13"/>
      <c r="H45" s="13"/>
      <c r="I45" s="14"/>
      <c r="J45" s="13"/>
    </row>
    <row r="46" customFormat="false" ht="15" hidden="false" customHeight="false" outlineLevel="0" collapsed="false">
      <c r="A46" s="12" t="str">
        <f aca="false">IF(B46&lt;&gt;"","CS-"&amp;TEXT(43,"000"),"")</f>
        <v/>
      </c>
      <c r="B46" s="13"/>
      <c r="C46" s="13"/>
      <c r="D46" s="13"/>
      <c r="E46" s="13"/>
      <c r="F46" s="13"/>
      <c r="G46" s="13"/>
      <c r="H46" s="13"/>
      <c r="I46" s="14"/>
      <c r="J46" s="13"/>
    </row>
    <row r="47" customFormat="false" ht="15" hidden="false" customHeight="false" outlineLevel="0" collapsed="false">
      <c r="A47" s="12" t="str">
        <f aca="false">IF(B47&lt;&gt;"","CS-"&amp;TEXT(44,"000"),"")</f>
        <v/>
      </c>
      <c r="B47" s="13"/>
      <c r="C47" s="13"/>
      <c r="D47" s="13"/>
      <c r="E47" s="13"/>
      <c r="F47" s="13"/>
      <c r="G47" s="13"/>
      <c r="H47" s="13"/>
      <c r="I47" s="14"/>
      <c r="J47" s="13"/>
    </row>
    <row r="48" customFormat="false" ht="15" hidden="false" customHeight="false" outlineLevel="0" collapsed="false">
      <c r="A48" s="12" t="str">
        <f aca="false">IF(B48&lt;&gt;"","CS-"&amp;TEXT(45,"000"),"")</f>
        <v/>
      </c>
      <c r="B48" s="13"/>
      <c r="C48" s="13"/>
      <c r="D48" s="13"/>
      <c r="E48" s="13"/>
      <c r="F48" s="13"/>
      <c r="G48" s="13"/>
      <c r="H48" s="13"/>
      <c r="I48" s="14"/>
      <c r="J48" s="13"/>
    </row>
    <row r="49" customFormat="false" ht="15" hidden="false" customHeight="false" outlineLevel="0" collapsed="false">
      <c r="A49" s="12" t="str">
        <f aca="false">IF(B49&lt;&gt;"","CS-"&amp;TEXT(46,"000"),"")</f>
        <v/>
      </c>
      <c r="B49" s="13"/>
      <c r="C49" s="13"/>
      <c r="D49" s="13"/>
      <c r="E49" s="13"/>
      <c r="F49" s="13"/>
      <c r="G49" s="13"/>
      <c r="H49" s="13"/>
      <c r="I49" s="14"/>
      <c r="J49" s="13"/>
    </row>
    <row r="50" customFormat="false" ht="15" hidden="false" customHeight="false" outlineLevel="0" collapsed="false">
      <c r="A50" s="12" t="str">
        <f aca="false">IF(B50&lt;&gt;"","CS-"&amp;TEXT(47,"000"),"")</f>
        <v/>
      </c>
      <c r="B50" s="13"/>
      <c r="C50" s="13"/>
      <c r="D50" s="13"/>
      <c r="E50" s="13"/>
      <c r="F50" s="13"/>
      <c r="G50" s="13"/>
      <c r="H50" s="13"/>
      <c r="I50" s="14"/>
      <c r="J50" s="13"/>
    </row>
    <row r="51" customFormat="false" ht="15" hidden="false" customHeight="false" outlineLevel="0" collapsed="false">
      <c r="A51" s="12" t="str">
        <f aca="false">IF(B51&lt;&gt;"","CS-"&amp;TEXT(48,"000"),"")</f>
        <v/>
      </c>
      <c r="B51" s="13"/>
      <c r="C51" s="13"/>
      <c r="D51" s="13"/>
      <c r="E51" s="13"/>
      <c r="F51" s="13"/>
      <c r="G51" s="13"/>
      <c r="H51" s="13"/>
      <c r="I51" s="14"/>
      <c r="J51" s="13"/>
    </row>
    <row r="52" customFormat="false" ht="15" hidden="false" customHeight="false" outlineLevel="0" collapsed="false">
      <c r="A52" s="12" t="str">
        <f aca="false">IF(B52&lt;&gt;"","CS-"&amp;TEXT(49,"000"),"")</f>
        <v/>
      </c>
      <c r="B52" s="13"/>
      <c r="C52" s="13"/>
      <c r="D52" s="13"/>
      <c r="E52" s="13"/>
      <c r="F52" s="13"/>
      <c r="G52" s="13"/>
      <c r="H52" s="13"/>
      <c r="I52" s="14"/>
      <c r="J52" s="13"/>
    </row>
    <row r="53" customFormat="false" ht="15" hidden="false" customHeight="false" outlineLevel="0" collapsed="false">
      <c r="A53" s="12" t="str">
        <f aca="false">IF(B53&lt;&gt;"","CS-"&amp;TEXT(50,"000"),"")</f>
        <v/>
      </c>
      <c r="B53" s="13"/>
      <c r="C53" s="13"/>
      <c r="D53" s="13"/>
      <c r="E53" s="13"/>
      <c r="F53" s="13"/>
      <c r="G53" s="13"/>
      <c r="H53" s="13"/>
      <c r="I53" s="14"/>
      <c r="J53" s="13"/>
    </row>
    <row r="54" customFormat="false" ht="15" hidden="false" customHeight="false" outlineLevel="0" collapsed="false">
      <c r="A54" s="12" t="str">
        <f aca="false">IF(B54&lt;&gt;"","CS-"&amp;TEXT(51,"000"),"")</f>
        <v/>
      </c>
      <c r="B54" s="13"/>
      <c r="C54" s="13"/>
      <c r="D54" s="13"/>
      <c r="E54" s="13"/>
      <c r="F54" s="13"/>
      <c r="G54" s="13"/>
      <c r="H54" s="13"/>
      <c r="I54" s="14"/>
      <c r="J54" s="13"/>
    </row>
    <row r="55" customFormat="false" ht="15" hidden="false" customHeight="false" outlineLevel="0" collapsed="false">
      <c r="A55" s="12" t="str">
        <f aca="false">IF(B55&lt;&gt;"","CS-"&amp;TEXT(52,"000"),"")</f>
        <v/>
      </c>
      <c r="B55" s="13"/>
      <c r="C55" s="13"/>
      <c r="D55" s="13"/>
      <c r="E55" s="13"/>
      <c r="F55" s="13"/>
      <c r="G55" s="13"/>
      <c r="H55" s="13"/>
      <c r="I55" s="14"/>
      <c r="J55" s="13"/>
    </row>
    <row r="56" customFormat="false" ht="15" hidden="false" customHeight="false" outlineLevel="0" collapsed="false">
      <c r="A56" s="12" t="str">
        <f aca="false">IF(B56&lt;&gt;"","CS-"&amp;TEXT(53,"000"),"")</f>
        <v/>
      </c>
      <c r="B56" s="13"/>
      <c r="C56" s="13"/>
      <c r="D56" s="13"/>
      <c r="E56" s="13"/>
      <c r="F56" s="13"/>
      <c r="G56" s="13"/>
      <c r="H56" s="13"/>
      <c r="I56" s="14"/>
      <c r="J56" s="13"/>
    </row>
    <row r="57" customFormat="false" ht="15" hidden="false" customHeight="false" outlineLevel="0" collapsed="false">
      <c r="A57" s="12" t="str">
        <f aca="false">IF(B57&lt;&gt;"","CS-"&amp;TEXT(54,"000"),"")</f>
        <v/>
      </c>
      <c r="B57" s="13"/>
      <c r="C57" s="13"/>
      <c r="D57" s="13"/>
      <c r="E57" s="13"/>
      <c r="F57" s="13"/>
      <c r="G57" s="13"/>
      <c r="H57" s="13"/>
      <c r="I57" s="14"/>
      <c r="J57" s="13"/>
    </row>
    <row r="58" customFormat="false" ht="15" hidden="false" customHeight="false" outlineLevel="0" collapsed="false">
      <c r="A58" s="12" t="str">
        <f aca="false">IF(B58&lt;&gt;"","CS-"&amp;TEXT(55,"000"),"")</f>
        <v/>
      </c>
      <c r="B58" s="13"/>
      <c r="C58" s="13"/>
      <c r="D58" s="13"/>
      <c r="E58" s="13"/>
      <c r="F58" s="13"/>
      <c r="G58" s="13"/>
      <c r="H58" s="13"/>
      <c r="I58" s="14"/>
      <c r="J58" s="13"/>
    </row>
    <row r="59" customFormat="false" ht="15" hidden="false" customHeight="false" outlineLevel="0" collapsed="false">
      <c r="A59" s="12" t="str">
        <f aca="false">IF(B59&lt;&gt;"","CS-"&amp;TEXT(56,"000"),"")</f>
        <v/>
      </c>
      <c r="B59" s="13"/>
      <c r="C59" s="13"/>
      <c r="D59" s="13"/>
      <c r="E59" s="13"/>
      <c r="F59" s="13"/>
      <c r="G59" s="13"/>
      <c r="H59" s="13"/>
      <c r="I59" s="14"/>
      <c r="J59" s="13"/>
    </row>
    <row r="60" customFormat="false" ht="15" hidden="false" customHeight="false" outlineLevel="0" collapsed="false">
      <c r="A60" s="12" t="str">
        <f aca="false">IF(B60&lt;&gt;"","CS-"&amp;TEXT(57,"000"),"")</f>
        <v/>
      </c>
      <c r="B60" s="13"/>
      <c r="C60" s="13"/>
      <c r="D60" s="13"/>
      <c r="E60" s="13"/>
      <c r="F60" s="13"/>
      <c r="G60" s="13"/>
      <c r="H60" s="13"/>
      <c r="I60" s="14"/>
      <c r="J60" s="13"/>
    </row>
    <row r="61" customFormat="false" ht="15" hidden="false" customHeight="false" outlineLevel="0" collapsed="false">
      <c r="A61" s="12" t="str">
        <f aca="false">IF(B61&lt;&gt;"","CS-"&amp;TEXT(58,"000"),"")</f>
        <v/>
      </c>
      <c r="B61" s="13"/>
      <c r="C61" s="13"/>
      <c r="D61" s="13"/>
      <c r="E61" s="13"/>
      <c r="F61" s="13"/>
      <c r="G61" s="13"/>
      <c r="H61" s="13"/>
      <c r="I61" s="14"/>
      <c r="J61" s="13"/>
    </row>
    <row r="62" customFormat="false" ht="15" hidden="false" customHeight="false" outlineLevel="0" collapsed="false">
      <c r="A62" s="12" t="str">
        <f aca="false">IF(B62&lt;&gt;"","CS-"&amp;TEXT(59,"000"),"")</f>
        <v/>
      </c>
      <c r="B62" s="13"/>
      <c r="C62" s="13"/>
      <c r="D62" s="13"/>
      <c r="E62" s="13"/>
      <c r="F62" s="13"/>
      <c r="G62" s="13"/>
      <c r="H62" s="13"/>
      <c r="I62" s="14"/>
      <c r="J62" s="13"/>
    </row>
    <row r="63" customFormat="false" ht="15" hidden="false" customHeight="false" outlineLevel="0" collapsed="false">
      <c r="A63" s="12" t="str">
        <f aca="false">IF(B63&lt;&gt;"","CS-"&amp;TEXT(60,"000"),"")</f>
        <v/>
      </c>
      <c r="B63" s="13"/>
      <c r="C63" s="13"/>
      <c r="D63" s="13"/>
      <c r="E63" s="13"/>
      <c r="F63" s="13"/>
      <c r="G63" s="13"/>
      <c r="H63" s="13"/>
      <c r="I63" s="14"/>
      <c r="J63" s="13"/>
    </row>
    <row r="64" customFormat="false" ht="15" hidden="false" customHeight="false" outlineLevel="0" collapsed="false">
      <c r="A64" s="12" t="str">
        <f aca="false">IF(B64&lt;&gt;"","CS-"&amp;TEXT(61,"000"),"")</f>
        <v/>
      </c>
      <c r="B64" s="13"/>
      <c r="C64" s="13"/>
      <c r="D64" s="13"/>
      <c r="E64" s="13"/>
      <c r="F64" s="13"/>
      <c r="G64" s="13"/>
      <c r="H64" s="13"/>
      <c r="I64" s="14"/>
      <c r="J64" s="13"/>
    </row>
    <row r="65" customFormat="false" ht="15" hidden="false" customHeight="false" outlineLevel="0" collapsed="false">
      <c r="A65" s="12" t="str">
        <f aca="false">IF(B65&lt;&gt;"","CS-"&amp;TEXT(62,"000"),"")</f>
        <v/>
      </c>
      <c r="B65" s="13"/>
      <c r="C65" s="13"/>
      <c r="D65" s="13"/>
      <c r="E65" s="13"/>
      <c r="F65" s="13"/>
      <c r="G65" s="13"/>
      <c r="H65" s="13"/>
      <c r="I65" s="14"/>
      <c r="J65" s="13"/>
    </row>
    <row r="66" customFormat="false" ht="15" hidden="false" customHeight="false" outlineLevel="0" collapsed="false">
      <c r="A66" s="12" t="str">
        <f aca="false">IF(B66&lt;&gt;"","CS-"&amp;TEXT(63,"000"),"")</f>
        <v/>
      </c>
      <c r="B66" s="13"/>
      <c r="C66" s="13"/>
      <c r="D66" s="13"/>
      <c r="E66" s="13"/>
      <c r="F66" s="13"/>
      <c r="G66" s="13"/>
      <c r="H66" s="13"/>
      <c r="I66" s="14"/>
      <c r="J66" s="13"/>
    </row>
    <row r="67" customFormat="false" ht="15" hidden="false" customHeight="false" outlineLevel="0" collapsed="false">
      <c r="A67" s="12" t="str">
        <f aca="false">IF(B67&lt;&gt;"","CS-"&amp;TEXT(64,"000"),"")</f>
        <v/>
      </c>
      <c r="B67" s="13"/>
      <c r="C67" s="13"/>
      <c r="D67" s="13"/>
      <c r="E67" s="13"/>
      <c r="F67" s="13"/>
      <c r="G67" s="13"/>
      <c r="H67" s="13"/>
      <c r="I67" s="14"/>
      <c r="J67" s="13"/>
    </row>
    <row r="68" customFormat="false" ht="15" hidden="false" customHeight="false" outlineLevel="0" collapsed="false">
      <c r="A68" s="12" t="str">
        <f aca="false">IF(B68&lt;&gt;"","CS-"&amp;TEXT(65,"000"),"")</f>
        <v/>
      </c>
      <c r="B68" s="13"/>
      <c r="C68" s="13"/>
      <c r="D68" s="13"/>
      <c r="E68" s="13"/>
      <c r="F68" s="13"/>
      <c r="G68" s="13"/>
      <c r="H68" s="13"/>
      <c r="I68" s="14"/>
      <c r="J68" s="13"/>
    </row>
    <row r="69" customFormat="false" ht="15" hidden="false" customHeight="false" outlineLevel="0" collapsed="false">
      <c r="A69" s="12" t="str">
        <f aca="false">IF(B69&lt;&gt;"","CS-"&amp;TEXT(66,"000"),"")</f>
        <v/>
      </c>
      <c r="B69" s="13"/>
      <c r="C69" s="13"/>
      <c r="D69" s="13"/>
      <c r="E69" s="13"/>
      <c r="F69" s="13"/>
      <c r="G69" s="13"/>
      <c r="H69" s="13"/>
      <c r="I69" s="14"/>
      <c r="J69" s="13"/>
    </row>
    <row r="70" customFormat="false" ht="15" hidden="false" customHeight="false" outlineLevel="0" collapsed="false">
      <c r="A70" s="12" t="str">
        <f aca="false">IF(B70&lt;&gt;"","CS-"&amp;TEXT(67,"000"),"")</f>
        <v/>
      </c>
      <c r="B70" s="13"/>
      <c r="C70" s="13"/>
      <c r="D70" s="13"/>
      <c r="E70" s="13"/>
      <c r="F70" s="13"/>
      <c r="G70" s="13"/>
      <c r="H70" s="13"/>
      <c r="I70" s="14"/>
      <c r="J70" s="13"/>
    </row>
    <row r="71" customFormat="false" ht="15" hidden="false" customHeight="false" outlineLevel="0" collapsed="false">
      <c r="A71" s="12" t="str">
        <f aca="false">IF(B71&lt;&gt;"","CS-"&amp;TEXT(68,"000"),"")</f>
        <v/>
      </c>
      <c r="B71" s="13"/>
      <c r="C71" s="13"/>
      <c r="D71" s="13"/>
      <c r="E71" s="13"/>
      <c r="F71" s="13"/>
      <c r="G71" s="13"/>
      <c r="H71" s="13"/>
      <c r="I71" s="14"/>
      <c r="J71" s="13"/>
    </row>
    <row r="72" customFormat="false" ht="15" hidden="false" customHeight="false" outlineLevel="0" collapsed="false">
      <c r="A72" s="12" t="str">
        <f aca="false">IF(B72&lt;&gt;"","CS-"&amp;TEXT(69,"000"),"")</f>
        <v/>
      </c>
      <c r="B72" s="13"/>
      <c r="C72" s="13"/>
      <c r="D72" s="13"/>
      <c r="E72" s="13"/>
      <c r="F72" s="13"/>
      <c r="G72" s="13"/>
      <c r="H72" s="13"/>
      <c r="I72" s="14"/>
      <c r="J72" s="13"/>
    </row>
    <row r="73" customFormat="false" ht="15" hidden="false" customHeight="false" outlineLevel="0" collapsed="false">
      <c r="A73" s="12" t="str">
        <f aca="false">IF(B73&lt;&gt;"","CS-"&amp;TEXT(70,"000"),"")</f>
        <v/>
      </c>
      <c r="B73" s="13"/>
      <c r="C73" s="13"/>
      <c r="D73" s="13"/>
      <c r="E73" s="13"/>
      <c r="F73" s="13"/>
      <c r="G73" s="13"/>
      <c r="H73" s="13"/>
      <c r="I73" s="14"/>
      <c r="J73" s="13"/>
    </row>
    <row r="74" customFormat="false" ht="15" hidden="false" customHeight="false" outlineLevel="0" collapsed="false">
      <c r="A74" s="12" t="str">
        <f aca="false">IF(B74&lt;&gt;"","CS-"&amp;TEXT(71,"000"),"")</f>
        <v/>
      </c>
      <c r="B74" s="13"/>
      <c r="C74" s="13"/>
      <c r="D74" s="13"/>
      <c r="E74" s="13"/>
      <c r="F74" s="13"/>
      <c r="G74" s="13"/>
      <c r="H74" s="13"/>
      <c r="I74" s="14"/>
      <c r="J74" s="13"/>
    </row>
    <row r="75" customFormat="false" ht="15" hidden="false" customHeight="false" outlineLevel="0" collapsed="false">
      <c r="A75" s="12" t="str">
        <f aca="false">IF(B75&lt;&gt;"","CS-"&amp;TEXT(72,"000"),"")</f>
        <v/>
      </c>
      <c r="B75" s="13"/>
      <c r="C75" s="13"/>
      <c r="D75" s="13"/>
      <c r="E75" s="13"/>
      <c r="F75" s="13"/>
      <c r="G75" s="13"/>
      <c r="H75" s="13"/>
      <c r="I75" s="14"/>
      <c r="J75" s="13"/>
    </row>
    <row r="76" customFormat="false" ht="15" hidden="false" customHeight="false" outlineLevel="0" collapsed="false">
      <c r="A76" s="12" t="str">
        <f aca="false">IF(B76&lt;&gt;"","CS-"&amp;TEXT(73,"000"),"")</f>
        <v/>
      </c>
      <c r="B76" s="13"/>
      <c r="C76" s="13"/>
      <c r="D76" s="13"/>
      <c r="E76" s="13"/>
      <c r="F76" s="13"/>
      <c r="G76" s="13"/>
      <c r="H76" s="13"/>
      <c r="I76" s="14"/>
      <c r="J76" s="13"/>
    </row>
    <row r="77" customFormat="false" ht="15" hidden="false" customHeight="false" outlineLevel="0" collapsed="false">
      <c r="A77" s="12" t="str">
        <f aca="false">IF(B77&lt;&gt;"","CS-"&amp;TEXT(74,"000"),"")</f>
        <v/>
      </c>
      <c r="B77" s="13"/>
      <c r="C77" s="13"/>
      <c r="D77" s="13"/>
      <c r="E77" s="13"/>
      <c r="F77" s="13"/>
      <c r="G77" s="13"/>
      <c r="H77" s="13"/>
      <c r="I77" s="14"/>
      <c r="J77" s="13"/>
    </row>
    <row r="78" customFormat="false" ht="15" hidden="false" customHeight="false" outlineLevel="0" collapsed="false">
      <c r="A78" s="12" t="str">
        <f aca="false">IF(B78&lt;&gt;"","CS-"&amp;TEXT(75,"000"),"")</f>
        <v/>
      </c>
      <c r="B78" s="13"/>
      <c r="C78" s="13"/>
      <c r="D78" s="13"/>
      <c r="E78" s="13"/>
      <c r="F78" s="13"/>
      <c r="G78" s="13"/>
      <c r="H78" s="13"/>
      <c r="I78" s="14"/>
      <c r="J78" s="13"/>
    </row>
    <row r="79" customFormat="false" ht="15" hidden="false" customHeight="false" outlineLevel="0" collapsed="false">
      <c r="A79" s="12" t="str">
        <f aca="false">IF(B79&lt;&gt;"","CS-"&amp;TEXT(76,"000"),"")</f>
        <v/>
      </c>
      <c r="B79" s="13"/>
      <c r="C79" s="13"/>
      <c r="D79" s="13"/>
      <c r="E79" s="13"/>
      <c r="F79" s="13"/>
      <c r="G79" s="13"/>
      <c r="H79" s="13"/>
      <c r="I79" s="14"/>
      <c r="J79" s="13"/>
    </row>
    <row r="80" customFormat="false" ht="15" hidden="false" customHeight="false" outlineLevel="0" collapsed="false">
      <c r="A80" s="12" t="str">
        <f aca="false">IF(B80&lt;&gt;"","CS-"&amp;TEXT(77,"000"),"")</f>
        <v/>
      </c>
      <c r="B80" s="13"/>
      <c r="C80" s="13"/>
      <c r="D80" s="13"/>
      <c r="E80" s="13"/>
      <c r="F80" s="13"/>
      <c r="G80" s="13"/>
      <c r="H80" s="13"/>
      <c r="I80" s="14"/>
      <c r="J80" s="13"/>
    </row>
    <row r="81" customFormat="false" ht="15" hidden="false" customHeight="false" outlineLevel="0" collapsed="false">
      <c r="A81" s="12" t="str">
        <f aca="false">IF(B81&lt;&gt;"","CS-"&amp;TEXT(78,"000"),"")</f>
        <v/>
      </c>
      <c r="B81" s="13"/>
      <c r="C81" s="13"/>
      <c r="D81" s="13"/>
      <c r="E81" s="13"/>
      <c r="F81" s="13"/>
      <c r="G81" s="13"/>
      <c r="H81" s="13"/>
      <c r="I81" s="14"/>
      <c r="J81" s="13"/>
    </row>
    <row r="82" customFormat="false" ht="15" hidden="false" customHeight="false" outlineLevel="0" collapsed="false">
      <c r="A82" s="12" t="str">
        <f aca="false">IF(B82&lt;&gt;"","CS-"&amp;TEXT(79,"000"),"")</f>
        <v/>
      </c>
      <c r="B82" s="13"/>
      <c r="C82" s="13"/>
      <c r="D82" s="13"/>
      <c r="E82" s="13"/>
      <c r="F82" s="13"/>
      <c r="G82" s="13"/>
      <c r="H82" s="13"/>
      <c r="I82" s="14"/>
      <c r="J82" s="13"/>
    </row>
    <row r="83" customFormat="false" ht="15" hidden="false" customHeight="false" outlineLevel="0" collapsed="false">
      <c r="A83" s="12" t="str">
        <f aca="false">IF(B83&lt;&gt;"","CS-"&amp;TEXT(80,"000"),"")</f>
        <v/>
      </c>
      <c r="B83" s="13"/>
      <c r="C83" s="13"/>
      <c r="D83" s="13"/>
      <c r="E83" s="13"/>
      <c r="F83" s="13"/>
      <c r="G83" s="13"/>
      <c r="H83" s="13"/>
      <c r="I83" s="14"/>
      <c r="J83" s="13"/>
    </row>
    <row r="84" customFormat="false" ht="15" hidden="false" customHeight="false" outlineLevel="0" collapsed="false">
      <c r="A84" s="12" t="str">
        <f aca="false">IF(B84&lt;&gt;"","CS-"&amp;TEXT(81,"000"),"")</f>
        <v/>
      </c>
      <c r="B84" s="13"/>
      <c r="C84" s="13"/>
      <c r="D84" s="13"/>
      <c r="E84" s="13"/>
      <c r="F84" s="13"/>
      <c r="G84" s="13"/>
      <c r="H84" s="13"/>
      <c r="I84" s="14"/>
      <c r="J84" s="13"/>
    </row>
    <row r="85" customFormat="false" ht="15" hidden="false" customHeight="false" outlineLevel="0" collapsed="false">
      <c r="A85" s="12" t="str">
        <f aca="false">IF(B85&lt;&gt;"","CS-"&amp;TEXT(82,"000"),"")</f>
        <v/>
      </c>
      <c r="B85" s="13"/>
      <c r="C85" s="13"/>
      <c r="D85" s="13"/>
      <c r="E85" s="13"/>
      <c r="F85" s="13"/>
      <c r="G85" s="13"/>
      <c r="H85" s="13"/>
      <c r="I85" s="14"/>
      <c r="J85" s="13"/>
    </row>
    <row r="86" customFormat="false" ht="15" hidden="false" customHeight="false" outlineLevel="0" collapsed="false">
      <c r="A86" s="12" t="str">
        <f aca="false">IF(B86&lt;&gt;"","CS-"&amp;TEXT(83,"000"),"")</f>
        <v/>
      </c>
      <c r="B86" s="13"/>
      <c r="C86" s="13"/>
      <c r="D86" s="13"/>
      <c r="E86" s="13"/>
      <c r="F86" s="13"/>
      <c r="G86" s="13"/>
      <c r="H86" s="13"/>
      <c r="I86" s="14"/>
      <c r="J86" s="13"/>
    </row>
    <row r="87" customFormat="false" ht="15" hidden="false" customHeight="false" outlineLevel="0" collapsed="false">
      <c r="A87" s="12" t="str">
        <f aca="false">IF(B87&lt;&gt;"","CS-"&amp;TEXT(84,"000"),"")</f>
        <v/>
      </c>
      <c r="B87" s="13"/>
      <c r="C87" s="13"/>
      <c r="D87" s="13"/>
      <c r="E87" s="13"/>
      <c r="F87" s="13"/>
      <c r="G87" s="13"/>
      <c r="H87" s="13"/>
      <c r="I87" s="14"/>
      <c r="J87" s="13"/>
    </row>
    <row r="88" customFormat="false" ht="15" hidden="false" customHeight="false" outlineLevel="0" collapsed="false">
      <c r="A88" s="12" t="str">
        <f aca="false">IF(B88&lt;&gt;"","CS-"&amp;TEXT(85,"000"),"")</f>
        <v/>
      </c>
      <c r="B88" s="13"/>
      <c r="C88" s="13"/>
      <c r="D88" s="13"/>
      <c r="E88" s="13"/>
      <c r="F88" s="13"/>
      <c r="G88" s="13"/>
      <c r="H88" s="13"/>
      <c r="I88" s="14"/>
      <c r="J88" s="13"/>
    </row>
    <row r="89" customFormat="false" ht="15" hidden="false" customHeight="false" outlineLevel="0" collapsed="false">
      <c r="A89" s="12" t="str">
        <f aca="false">IF(B89&lt;&gt;"","CS-"&amp;TEXT(86,"000"),"")</f>
        <v/>
      </c>
      <c r="B89" s="13"/>
      <c r="C89" s="13"/>
      <c r="D89" s="13"/>
      <c r="E89" s="13"/>
      <c r="F89" s="13"/>
      <c r="G89" s="13"/>
      <c r="H89" s="13"/>
      <c r="I89" s="14"/>
      <c r="J89" s="13"/>
    </row>
    <row r="90" customFormat="false" ht="15" hidden="false" customHeight="false" outlineLevel="0" collapsed="false">
      <c r="A90" s="12" t="str">
        <f aca="false">IF(B90&lt;&gt;"","CS-"&amp;TEXT(87,"000"),"")</f>
        <v/>
      </c>
      <c r="B90" s="13"/>
      <c r="C90" s="13"/>
      <c r="D90" s="13"/>
      <c r="E90" s="13"/>
      <c r="F90" s="13"/>
      <c r="G90" s="13"/>
      <c r="H90" s="13"/>
      <c r="I90" s="14"/>
      <c r="J90" s="13"/>
    </row>
    <row r="91" customFormat="false" ht="15" hidden="false" customHeight="false" outlineLevel="0" collapsed="false">
      <c r="A91" s="12" t="str">
        <f aca="false">IF(B91&lt;&gt;"","CS-"&amp;TEXT(88,"000"),"")</f>
        <v/>
      </c>
      <c r="B91" s="13"/>
      <c r="C91" s="13"/>
      <c r="D91" s="13"/>
      <c r="E91" s="13"/>
      <c r="F91" s="13"/>
      <c r="G91" s="13"/>
      <c r="H91" s="13"/>
      <c r="I91" s="14"/>
      <c r="J91" s="13"/>
    </row>
    <row r="92" customFormat="false" ht="15" hidden="false" customHeight="false" outlineLevel="0" collapsed="false">
      <c r="A92" s="12" t="str">
        <f aca="false">IF(B92&lt;&gt;"","CS-"&amp;TEXT(89,"000"),"")</f>
        <v/>
      </c>
      <c r="B92" s="13"/>
      <c r="C92" s="13"/>
      <c r="D92" s="13"/>
      <c r="E92" s="13"/>
      <c r="F92" s="13"/>
      <c r="G92" s="13"/>
      <c r="H92" s="13"/>
      <c r="I92" s="14"/>
      <c r="J92" s="13"/>
    </row>
    <row r="93" customFormat="false" ht="15" hidden="false" customHeight="false" outlineLevel="0" collapsed="false">
      <c r="A93" s="12" t="str">
        <f aca="false">IF(B93&lt;&gt;"","CS-"&amp;TEXT(90,"000"),"")</f>
        <v/>
      </c>
      <c r="B93" s="13"/>
      <c r="C93" s="13"/>
      <c r="D93" s="13"/>
      <c r="E93" s="13"/>
      <c r="F93" s="13"/>
      <c r="G93" s="13"/>
      <c r="H93" s="13"/>
      <c r="I93" s="14"/>
      <c r="J93" s="13"/>
    </row>
    <row r="94" customFormat="false" ht="15" hidden="false" customHeight="false" outlineLevel="0" collapsed="false">
      <c r="A94" s="12" t="str">
        <f aca="false">IF(B94&lt;&gt;"","CS-"&amp;TEXT(91,"000"),"")</f>
        <v/>
      </c>
      <c r="B94" s="13"/>
      <c r="C94" s="13"/>
      <c r="D94" s="13"/>
      <c r="E94" s="13"/>
      <c r="F94" s="13"/>
      <c r="G94" s="13"/>
      <c r="H94" s="13"/>
      <c r="I94" s="14"/>
      <c r="J94" s="13"/>
    </row>
    <row r="95" customFormat="false" ht="15" hidden="false" customHeight="false" outlineLevel="0" collapsed="false">
      <c r="A95" s="12" t="str">
        <f aca="false">IF(B95&lt;&gt;"","CS-"&amp;TEXT(92,"000"),"")</f>
        <v/>
      </c>
      <c r="B95" s="13"/>
      <c r="C95" s="13"/>
      <c r="D95" s="13"/>
      <c r="E95" s="13"/>
      <c r="F95" s="13"/>
      <c r="G95" s="13"/>
      <c r="H95" s="13"/>
      <c r="I95" s="14"/>
      <c r="J95" s="13"/>
    </row>
    <row r="96" customFormat="false" ht="15" hidden="false" customHeight="false" outlineLevel="0" collapsed="false">
      <c r="A96" s="12" t="str">
        <f aca="false">IF(B96&lt;&gt;"","CS-"&amp;TEXT(93,"000"),"")</f>
        <v/>
      </c>
      <c r="B96" s="13"/>
      <c r="C96" s="13"/>
      <c r="D96" s="13"/>
      <c r="E96" s="13"/>
      <c r="F96" s="13"/>
      <c r="G96" s="13"/>
      <c r="H96" s="13"/>
      <c r="I96" s="14"/>
      <c r="J96" s="13"/>
    </row>
    <row r="97" customFormat="false" ht="15" hidden="false" customHeight="false" outlineLevel="0" collapsed="false">
      <c r="A97" s="12" t="str">
        <f aca="false">IF(B97&lt;&gt;"","CS-"&amp;TEXT(94,"000"),"")</f>
        <v/>
      </c>
      <c r="B97" s="13"/>
      <c r="C97" s="13"/>
      <c r="D97" s="13"/>
      <c r="E97" s="13"/>
      <c r="F97" s="13"/>
      <c r="G97" s="13"/>
      <c r="H97" s="13"/>
      <c r="I97" s="14"/>
      <c r="J97" s="13"/>
    </row>
    <row r="98" customFormat="false" ht="15" hidden="false" customHeight="false" outlineLevel="0" collapsed="false">
      <c r="A98" s="12" t="str">
        <f aca="false">IF(B98&lt;&gt;"","CS-"&amp;TEXT(95,"000"),"")</f>
        <v/>
      </c>
      <c r="B98" s="13"/>
      <c r="C98" s="13"/>
      <c r="D98" s="13"/>
      <c r="E98" s="13"/>
      <c r="F98" s="13"/>
      <c r="G98" s="13"/>
      <c r="H98" s="13"/>
      <c r="I98" s="14"/>
      <c r="J98" s="13"/>
    </row>
    <row r="99" customFormat="false" ht="15" hidden="false" customHeight="false" outlineLevel="0" collapsed="false">
      <c r="A99" s="12" t="str">
        <f aca="false">IF(B99&lt;&gt;"","CS-"&amp;TEXT(96,"000"),"")</f>
        <v/>
      </c>
      <c r="B99" s="13"/>
      <c r="C99" s="13"/>
      <c r="D99" s="13"/>
      <c r="E99" s="13"/>
      <c r="F99" s="13"/>
      <c r="G99" s="13"/>
      <c r="H99" s="13"/>
      <c r="I99" s="14"/>
      <c r="J99" s="13"/>
    </row>
    <row r="100" customFormat="false" ht="15" hidden="false" customHeight="false" outlineLevel="0" collapsed="false">
      <c r="A100" s="12" t="str">
        <f aca="false">IF(B100&lt;&gt;"","CS-"&amp;TEXT(97,"000"),"")</f>
        <v/>
      </c>
      <c r="B100" s="13"/>
      <c r="C100" s="13"/>
      <c r="D100" s="13"/>
      <c r="E100" s="13"/>
      <c r="F100" s="13"/>
      <c r="G100" s="13"/>
      <c r="H100" s="13"/>
      <c r="I100" s="14"/>
      <c r="J100" s="13"/>
    </row>
    <row r="101" customFormat="false" ht="15" hidden="false" customHeight="false" outlineLevel="0" collapsed="false">
      <c r="A101" s="12" t="str">
        <f aca="false">IF(B101&lt;&gt;"","CS-"&amp;TEXT(98,"000"),"")</f>
        <v/>
      </c>
      <c r="B101" s="13"/>
      <c r="C101" s="13"/>
      <c r="D101" s="13"/>
      <c r="E101" s="13"/>
      <c r="F101" s="13"/>
      <c r="G101" s="13"/>
      <c r="H101" s="13"/>
      <c r="I101" s="14"/>
      <c r="J101" s="13"/>
    </row>
    <row r="102" customFormat="false" ht="15" hidden="false" customHeight="false" outlineLevel="0" collapsed="false">
      <c r="A102" s="12" t="str">
        <f aca="false">IF(B102&lt;&gt;"","CS-"&amp;TEXT(99,"000"),"")</f>
        <v/>
      </c>
      <c r="B102" s="13"/>
      <c r="C102" s="13"/>
      <c r="D102" s="13"/>
      <c r="E102" s="13"/>
      <c r="F102" s="13"/>
      <c r="G102" s="13"/>
      <c r="H102" s="13"/>
      <c r="I102" s="14"/>
      <c r="J102" s="13"/>
    </row>
    <row r="103" customFormat="false" ht="15" hidden="false" customHeight="false" outlineLevel="0" collapsed="false">
      <c r="A103" s="12" t="str">
        <f aca="false">IF(B103&lt;&gt;"","CS-"&amp;TEXT(100,"000"),"")</f>
        <v/>
      </c>
      <c r="B103" s="13"/>
      <c r="C103" s="13"/>
      <c r="D103" s="13"/>
      <c r="E103" s="13"/>
      <c r="F103" s="13"/>
      <c r="G103" s="13"/>
      <c r="H103" s="13"/>
      <c r="I103" s="14"/>
      <c r="J103" s="13"/>
    </row>
    <row r="104" customFormat="false" ht="15" hidden="false" customHeight="false" outlineLevel="0" collapsed="false">
      <c r="A104" s="12" t="str">
        <f aca="false">IF(B104&lt;&gt;"","CS-"&amp;TEXT(101,"000"),"")</f>
        <v/>
      </c>
      <c r="B104" s="13"/>
      <c r="C104" s="13"/>
      <c r="D104" s="13"/>
      <c r="E104" s="13"/>
      <c r="F104" s="13"/>
      <c r="G104" s="13"/>
      <c r="H104" s="13"/>
      <c r="I104" s="14"/>
      <c r="J104" s="13"/>
    </row>
    <row r="105" customFormat="false" ht="15" hidden="false" customHeight="false" outlineLevel="0" collapsed="false">
      <c r="A105" s="12" t="str">
        <f aca="false">IF(B105&lt;&gt;"","CS-"&amp;TEXT(102,"000"),"")</f>
        <v/>
      </c>
      <c r="B105" s="13"/>
      <c r="C105" s="13"/>
      <c r="D105" s="13"/>
      <c r="E105" s="13"/>
      <c r="F105" s="13"/>
      <c r="G105" s="13"/>
      <c r="H105" s="13"/>
      <c r="I105" s="14"/>
      <c r="J105" s="13"/>
    </row>
    <row r="106" customFormat="false" ht="15" hidden="false" customHeight="false" outlineLevel="0" collapsed="false">
      <c r="A106" s="12" t="str">
        <f aca="false">IF(B106&lt;&gt;"","CS-"&amp;TEXT(103,"000"),"")</f>
        <v/>
      </c>
      <c r="B106" s="13"/>
      <c r="C106" s="13"/>
      <c r="D106" s="13"/>
      <c r="E106" s="13"/>
      <c r="F106" s="13"/>
      <c r="G106" s="13"/>
      <c r="H106" s="13"/>
      <c r="I106" s="14"/>
      <c r="J106" s="13"/>
    </row>
    <row r="107" customFormat="false" ht="15" hidden="false" customHeight="false" outlineLevel="0" collapsed="false">
      <c r="A107" s="12" t="str">
        <f aca="false">IF(B107&lt;&gt;"","CS-"&amp;TEXT(104,"000"),"")</f>
        <v/>
      </c>
      <c r="B107" s="13"/>
      <c r="C107" s="13"/>
      <c r="D107" s="13"/>
      <c r="E107" s="13"/>
      <c r="F107" s="13"/>
      <c r="G107" s="13"/>
      <c r="H107" s="13"/>
      <c r="I107" s="14"/>
      <c r="J107" s="13"/>
    </row>
    <row r="108" customFormat="false" ht="15" hidden="false" customHeight="false" outlineLevel="0" collapsed="false">
      <c r="A108" s="12" t="str">
        <f aca="false">IF(B108&lt;&gt;"","CS-"&amp;TEXT(105,"000"),"")</f>
        <v/>
      </c>
      <c r="B108" s="13"/>
      <c r="C108" s="13"/>
      <c r="D108" s="13"/>
      <c r="E108" s="13"/>
      <c r="F108" s="13"/>
      <c r="G108" s="13"/>
      <c r="H108" s="13"/>
      <c r="I108" s="14"/>
      <c r="J108" s="13"/>
    </row>
    <row r="109" customFormat="false" ht="15" hidden="false" customHeight="false" outlineLevel="0" collapsed="false">
      <c r="A109" s="12" t="str">
        <f aca="false">IF(B109&lt;&gt;"","CS-"&amp;TEXT(106,"000"),"")</f>
        <v/>
      </c>
      <c r="B109" s="13"/>
      <c r="C109" s="13"/>
      <c r="D109" s="13"/>
      <c r="E109" s="13"/>
      <c r="F109" s="13"/>
      <c r="G109" s="13"/>
      <c r="H109" s="13"/>
      <c r="I109" s="14"/>
      <c r="J109" s="13"/>
    </row>
    <row r="110" customFormat="false" ht="15" hidden="false" customHeight="false" outlineLevel="0" collapsed="false">
      <c r="A110" s="12" t="str">
        <f aca="false">IF(B110&lt;&gt;"","CS-"&amp;TEXT(107,"000"),"")</f>
        <v/>
      </c>
      <c r="B110" s="13"/>
      <c r="C110" s="13"/>
      <c r="D110" s="13"/>
      <c r="E110" s="13"/>
      <c r="F110" s="13"/>
      <c r="G110" s="13"/>
      <c r="H110" s="13"/>
      <c r="I110" s="14"/>
      <c r="J110" s="13"/>
    </row>
    <row r="111" customFormat="false" ht="15" hidden="false" customHeight="false" outlineLevel="0" collapsed="false">
      <c r="A111" s="12" t="str">
        <f aca="false">IF(B111&lt;&gt;"","CS-"&amp;TEXT(108,"000"),"")</f>
        <v/>
      </c>
      <c r="B111" s="13"/>
      <c r="C111" s="13"/>
      <c r="D111" s="13"/>
      <c r="E111" s="13"/>
      <c r="F111" s="13"/>
      <c r="G111" s="13"/>
      <c r="H111" s="13"/>
      <c r="I111" s="14"/>
      <c r="J111" s="13"/>
    </row>
    <row r="112" customFormat="false" ht="15" hidden="false" customHeight="false" outlineLevel="0" collapsed="false">
      <c r="A112" s="12" t="str">
        <f aca="false">IF(B112&lt;&gt;"","CS-"&amp;TEXT(109,"000"),"")</f>
        <v/>
      </c>
      <c r="B112" s="13"/>
      <c r="C112" s="13"/>
      <c r="D112" s="13"/>
      <c r="E112" s="13"/>
      <c r="F112" s="13"/>
      <c r="G112" s="13"/>
      <c r="H112" s="13"/>
      <c r="I112" s="14"/>
      <c r="J112" s="13"/>
    </row>
    <row r="113" customFormat="false" ht="15" hidden="false" customHeight="false" outlineLevel="0" collapsed="false">
      <c r="A113" s="12" t="str">
        <f aca="false">IF(B113&lt;&gt;"","CS-"&amp;TEXT(110,"000"),"")</f>
        <v/>
      </c>
      <c r="B113" s="13"/>
      <c r="C113" s="13"/>
      <c r="D113" s="13"/>
      <c r="E113" s="13"/>
      <c r="F113" s="13"/>
      <c r="G113" s="13"/>
      <c r="H113" s="13"/>
      <c r="I113" s="14"/>
      <c r="J113" s="13"/>
    </row>
    <row r="114" customFormat="false" ht="15" hidden="false" customHeight="false" outlineLevel="0" collapsed="false">
      <c r="A114" s="12" t="str">
        <f aca="false">IF(B114&lt;&gt;"","CS-"&amp;TEXT(111,"000"),"")</f>
        <v/>
      </c>
      <c r="B114" s="13"/>
      <c r="C114" s="13"/>
      <c r="D114" s="13"/>
      <c r="E114" s="13"/>
      <c r="F114" s="13"/>
      <c r="G114" s="13"/>
      <c r="H114" s="13"/>
      <c r="I114" s="14"/>
      <c r="J114" s="13"/>
    </row>
    <row r="115" customFormat="false" ht="15" hidden="false" customHeight="false" outlineLevel="0" collapsed="false">
      <c r="A115" s="12" t="str">
        <f aca="false">IF(B115&lt;&gt;"","CS-"&amp;TEXT(112,"000"),"")</f>
        <v/>
      </c>
      <c r="B115" s="13"/>
      <c r="C115" s="13"/>
      <c r="D115" s="13"/>
      <c r="E115" s="13"/>
      <c r="F115" s="13"/>
      <c r="G115" s="13"/>
      <c r="H115" s="13"/>
      <c r="I115" s="14"/>
      <c r="J115" s="13"/>
    </row>
    <row r="116" customFormat="false" ht="15" hidden="false" customHeight="false" outlineLevel="0" collapsed="false">
      <c r="A116" s="12" t="str">
        <f aca="false">IF(B116&lt;&gt;"","CS-"&amp;TEXT(113,"000"),"")</f>
        <v/>
      </c>
      <c r="B116" s="13"/>
      <c r="C116" s="13"/>
      <c r="D116" s="13"/>
      <c r="E116" s="13"/>
      <c r="F116" s="13"/>
      <c r="G116" s="13"/>
      <c r="H116" s="13"/>
      <c r="I116" s="14"/>
      <c r="J116" s="13"/>
    </row>
    <row r="117" customFormat="false" ht="15" hidden="false" customHeight="false" outlineLevel="0" collapsed="false">
      <c r="A117" s="12" t="str">
        <f aca="false">IF(B117&lt;&gt;"","CS-"&amp;TEXT(114,"000"),"")</f>
        <v/>
      </c>
      <c r="B117" s="13"/>
      <c r="C117" s="13"/>
      <c r="D117" s="13"/>
      <c r="E117" s="13"/>
      <c r="F117" s="13"/>
      <c r="G117" s="13"/>
      <c r="H117" s="13"/>
      <c r="I117" s="14"/>
      <c r="J117" s="13"/>
    </row>
    <row r="118" customFormat="false" ht="15" hidden="false" customHeight="false" outlineLevel="0" collapsed="false">
      <c r="A118" s="12" t="str">
        <f aca="false">IF(B118&lt;&gt;"","CS-"&amp;TEXT(115,"000"),"")</f>
        <v/>
      </c>
      <c r="B118" s="13"/>
      <c r="C118" s="13"/>
      <c r="D118" s="13"/>
      <c r="E118" s="13"/>
      <c r="F118" s="13"/>
      <c r="G118" s="13"/>
      <c r="H118" s="13"/>
      <c r="I118" s="14"/>
      <c r="J118" s="13"/>
    </row>
    <row r="119" customFormat="false" ht="15" hidden="false" customHeight="false" outlineLevel="0" collapsed="false">
      <c r="A119" s="12" t="str">
        <f aca="false">IF(B119&lt;&gt;"","CS-"&amp;TEXT(116,"000"),"")</f>
        <v/>
      </c>
      <c r="B119" s="13"/>
      <c r="C119" s="13"/>
      <c r="D119" s="13"/>
      <c r="E119" s="13"/>
      <c r="F119" s="13"/>
      <c r="G119" s="13"/>
      <c r="H119" s="13"/>
      <c r="I119" s="14"/>
      <c r="J119" s="13"/>
    </row>
    <row r="120" customFormat="false" ht="15" hidden="false" customHeight="false" outlineLevel="0" collapsed="false">
      <c r="A120" s="12" t="str">
        <f aca="false">IF(B120&lt;&gt;"","CS-"&amp;TEXT(117,"000"),"")</f>
        <v/>
      </c>
      <c r="B120" s="13"/>
      <c r="C120" s="13"/>
      <c r="D120" s="13"/>
      <c r="E120" s="13"/>
      <c r="F120" s="13"/>
      <c r="G120" s="13"/>
      <c r="H120" s="13"/>
      <c r="I120" s="14"/>
      <c r="J120" s="13"/>
    </row>
    <row r="121" customFormat="false" ht="15" hidden="false" customHeight="false" outlineLevel="0" collapsed="false">
      <c r="A121" s="12" t="str">
        <f aca="false">IF(B121&lt;&gt;"","CS-"&amp;TEXT(118,"000"),"")</f>
        <v/>
      </c>
      <c r="B121" s="13"/>
      <c r="C121" s="13"/>
      <c r="D121" s="13"/>
      <c r="E121" s="13"/>
      <c r="F121" s="13"/>
      <c r="G121" s="13"/>
      <c r="H121" s="13"/>
      <c r="I121" s="14"/>
      <c r="J121" s="13"/>
    </row>
    <row r="122" customFormat="false" ht="15" hidden="false" customHeight="false" outlineLevel="0" collapsed="false">
      <c r="A122" s="12" t="str">
        <f aca="false">IF(B122&lt;&gt;"","CS-"&amp;TEXT(119,"000"),"")</f>
        <v/>
      </c>
      <c r="B122" s="13"/>
      <c r="C122" s="13"/>
      <c r="D122" s="13"/>
      <c r="E122" s="13"/>
      <c r="F122" s="13"/>
      <c r="G122" s="13"/>
      <c r="H122" s="13"/>
      <c r="I122" s="14"/>
      <c r="J122" s="13"/>
    </row>
    <row r="123" customFormat="false" ht="15" hidden="false" customHeight="false" outlineLevel="0" collapsed="false">
      <c r="A123" s="12" t="str">
        <f aca="false">IF(B123&lt;&gt;"","CS-"&amp;TEXT(120,"000"),"")</f>
        <v/>
      </c>
      <c r="B123" s="13"/>
      <c r="C123" s="13"/>
      <c r="D123" s="13"/>
      <c r="E123" s="13"/>
      <c r="F123" s="13"/>
      <c r="G123" s="13"/>
      <c r="H123" s="13"/>
      <c r="I123" s="14"/>
      <c r="J123" s="13"/>
    </row>
    <row r="124" customFormat="false" ht="15" hidden="false" customHeight="false" outlineLevel="0" collapsed="false">
      <c r="A124" s="12" t="str">
        <f aca="false">IF(B124&lt;&gt;"","CS-"&amp;TEXT(121,"000"),"")</f>
        <v/>
      </c>
      <c r="B124" s="13"/>
      <c r="C124" s="13"/>
      <c r="D124" s="13"/>
      <c r="E124" s="13"/>
      <c r="F124" s="13"/>
      <c r="G124" s="13"/>
      <c r="H124" s="13"/>
      <c r="I124" s="14"/>
      <c r="J124" s="13"/>
    </row>
    <row r="125" customFormat="false" ht="15" hidden="false" customHeight="false" outlineLevel="0" collapsed="false">
      <c r="A125" s="12" t="str">
        <f aca="false">IF(B125&lt;&gt;"","CS-"&amp;TEXT(122,"000"),"")</f>
        <v/>
      </c>
      <c r="B125" s="13"/>
      <c r="C125" s="13"/>
      <c r="D125" s="13"/>
      <c r="E125" s="13"/>
      <c r="F125" s="13"/>
      <c r="G125" s="13"/>
      <c r="H125" s="13"/>
      <c r="I125" s="14"/>
      <c r="J125" s="13"/>
    </row>
    <row r="126" customFormat="false" ht="15" hidden="false" customHeight="false" outlineLevel="0" collapsed="false">
      <c r="A126" s="12" t="str">
        <f aca="false">IF(B126&lt;&gt;"","CS-"&amp;TEXT(123,"000"),"")</f>
        <v/>
      </c>
      <c r="B126" s="13"/>
      <c r="C126" s="13"/>
      <c r="D126" s="13"/>
      <c r="E126" s="13"/>
      <c r="F126" s="13"/>
      <c r="G126" s="13"/>
      <c r="H126" s="13"/>
      <c r="I126" s="14"/>
      <c r="J126" s="13"/>
    </row>
    <row r="127" customFormat="false" ht="15" hidden="false" customHeight="false" outlineLevel="0" collapsed="false">
      <c r="A127" s="12" t="str">
        <f aca="false">IF(B127&lt;&gt;"","CS-"&amp;TEXT(124,"000"),"")</f>
        <v/>
      </c>
      <c r="B127" s="13"/>
      <c r="C127" s="13"/>
      <c r="D127" s="13"/>
      <c r="E127" s="13"/>
      <c r="F127" s="13"/>
      <c r="G127" s="13"/>
      <c r="H127" s="13"/>
      <c r="I127" s="14"/>
      <c r="J127" s="13"/>
    </row>
    <row r="128" customFormat="false" ht="15" hidden="false" customHeight="false" outlineLevel="0" collapsed="false">
      <c r="A128" s="12" t="str">
        <f aca="false">IF(B128&lt;&gt;"","CS-"&amp;TEXT(125,"000"),"")</f>
        <v/>
      </c>
      <c r="B128" s="13"/>
      <c r="C128" s="13"/>
      <c r="D128" s="13"/>
      <c r="E128" s="13"/>
      <c r="F128" s="13"/>
      <c r="G128" s="13"/>
      <c r="H128" s="13"/>
      <c r="I128" s="14"/>
      <c r="J128" s="13"/>
    </row>
    <row r="129" customFormat="false" ht="15" hidden="false" customHeight="false" outlineLevel="0" collapsed="false">
      <c r="A129" s="12" t="str">
        <f aca="false">IF(B129&lt;&gt;"","CS-"&amp;TEXT(126,"000"),"")</f>
        <v/>
      </c>
      <c r="B129" s="13"/>
      <c r="C129" s="13"/>
      <c r="D129" s="13"/>
      <c r="E129" s="13"/>
      <c r="F129" s="13"/>
      <c r="G129" s="13"/>
      <c r="H129" s="13"/>
      <c r="I129" s="14"/>
      <c r="J129" s="13"/>
    </row>
    <row r="130" customFormat="false" ht="15" hidden="false" customHeight="false" outlineLevel="0" collapsed="false">
      <c r="A130" s="12" t="str">
        <f aca="false">IF(B130&lt;&gt;"","CS-"&amp;TEXT(127,"000"),"")</f>
        <v/>
      </c>
      <c r="B130" s="13"/>
      <c r="C130" s="13"/>
      <c r="D130" s="13"/>
      <c r="E130" s="13"/>
      <c r="F130" s="13"/>
      <c r="G130" s="13"/>
      <c r="H130" s="13"/>
      <c r="I130" s="14"/>
      <c r="J130" s="13"/>
    </row>
    <row r="131" customFormat="false" ht="15" hidden="false" customHeight="false" outlineLevel="0" collapsed="false">
      <c r="A131" s="12" t="str">
        <f aca="false">IF(B131&lt;&gt;"","CS-"&amp;TEXT(128,"000"),"")</f>
        <v/>
      </c>
      <c r="B131" s="13"/>
      <c r="C131" s="13"/>
      <c r="D131" s="13"/>
      <c r="E131" s="13"/>
      <c r="F131" s="13"/>
      <c r="G131" s="13"/>
      <c r="H131" s="13"/>
      <c r="I131" s="14"/>
      <c r="J131" s="13"/>
    </row>
    <row r="132" customFormat="false" ht="15" hidden="false" customHeight="false" outlineLevel="0" collapsed="false">
      <c r="A132" s="12" t="str">
        <f aca="false">IF(B132&lt;&gt;"","CS-"&amp;TEXT(129,"000"),"")</f>
        <v/>
      </c>
      <c r="B132" s="13"/>
      <c r="C132" s="13"/>
      <c r="D132" s="13"/>
      <c r="E132" s="13"/>
      <c r="F132" s="13"/>
      <c r="G132" s="13"/>
      <c r="H132" s="13"/>
      <c r="I132" s="14"/>
      <c r="J132" s="13"/>
    </row>
    <row r="133" customFormat="false" ht="15" hidden="false" customHeight="false" outlineLevel="0" collapsed="false">
      <c r="A133" s="12" t="str">
        <f aca="false">IF(B133&lt;&gt;"","CS-"&amp;TEXT(130,"000"),"")</f>
        <v/>
      </c>
      <c r="B133" s="13"/>
      <c r="C133" s="13"/>
      <c r="D133" s="13"/>
      <c r="E133" s="13"/>
      <c r="F133" s="13"/>
      <c r="G133" s="13"/>
      <c r="H133" s="13"/>
      <c r="I133" s="14"/>
      <c r="J133" s="13"/>
    </row>
    <row r="134" customFormat="false" ht="15" hidden="false" customHeight="false" outlineLevel="0" collapsed="false">
      <c r="A134" s="12" t="str">
        <f aca="false">IF(B134&lt;&gt;"","CS-"&amp;TEXT(131,"000"),"")</f>
        <v/>
      </c>
      <c r="B134" s="13"/>
      <c r="C134" s="13"/>
      <c r="D134" s="13"/>
      <c r="E134" s="13"/>
      <c r="F134" s="13"/>
      <c r="G134" s="13"/>
      <c r="H134" s="13"/>
      <c r="I134" s="14"/>
      <c r="J134" s="13"/>
    </row>
    <row r="135" customFormat="false" ht="15" hidden="false" customHeight="false" outlineLevel="0" collapsed="false">
      <c r="A135" s="12" t="str">
        <f aca="false">IF(B135&lt;&gt;"","CS-"&amp;TEXT(132,"000"),"")</f>
        <v/>
      </c>
      <c r="B135" s="13"/>
      <c r="C135" s="13"/>
      <c r="D135" s="13"/>
      <c r="E135" s="13"/>
      <c r="F135" s="13"/>
      <c r="G135" s="13"/>
      <c r="H135" s="13"/>
      <c r="I135" s="14"/>
      <c r="J135" s="13"/>
    </row>
    <row r="136" customFormat="false" ht="15" hidden="false" customHeight="false" outlineLevel="0" collapsed="false">
      <c r="A136" s="12" t="str">
        <f aca="false">IF(B136&lt;&gt;"","CS-"&amp;TEXT(133,"000"),"")</f>
        <v/>
      </c>
      <c r="B136" s="13"/>
      <c r="C136" s="13"/>
      <c r="D136" s="13"/>
      <c r="E136" s="13"/>
      <c r="F136" s="13"/>
      <c r="G136" s="13"/>
      <c r="H136" s="13"/>
      <c r="I136" s="14"/>
      <c r="J136" s="13"/>
    </row>
    <row r="137" customFormat="false" ht="15" hidden="false" customHeight="false" outlineLevel="0" collapsed="false">
      <c r="A137" s="12" t="str">
        <f aca="false">IF(B137&lt;&gt;"","CS-"&amp;TEXT(134,"000"),"")</f>
        <v/>
      </c>
      <c r="B137" s="13"/>
      <c r="C137" s="13"/>
      <c r="D137" s="13"/>
      <c r="E137" s="13"/>
      <c r="F137" s="13"/>
      <c r="G137" s="13"/>
      <c r="H137" s="13"/>
      <c r="I137" s="14"/>
      <c r="J137" s="13"/>
    </row>
    <row r="138" customFormat="false" ht="15" hidden="false" customHeight="false" outlineLevel="0" collapsed="false">
      <c r="A138" s="12" t="str">
        <f aca="false">IF(B138&lt;&gt;"","CS-"&amp;TEXT(135,"000"),"")</f>
        <v/>
      </c>
      <c r="B138" s="13"/>
      <c r="C138" s="13"/>
      <c r="D138" s="13"/>
      <c r="E138" s="13"/>
      <c r="F138" s="13"/>
      <c r="G138" s="13"/>
      <c r="H138" s="13"/>
      <c r="I138" s="14"/>
      <c r="J138" s="13"/>
    </row>
    <row r="139" customFormat="false" ht="15" hidden="false" customHeight="false" outlineLevel="0" collapsed="false">
      <c r="A139" s="12" t="str">
        <f aca="false">IF(B139&lt;&gt;"","CS-"&amp;TEXT(136,"000"),"")</f>
        <v/>
      </c>
      <c r="B139" s="13"/>
      <c r="C139" s="13"/>
      <c r="D139" s="13"/>
      <c r="E139" s="13"/>
      <c r="F139" s="13"/>
      <c r="G139" s="13"/>
      <c r="H139" s="13"/>
      <c r="I139" s="14"/>
      <c r="J139" s="13"/>
    </row>
    <row r="140" customFormat="false" ht="15" hidden="false" customHeight="false" outlineLevel="0" collapsed="false">
      <c r="A140" s="12" t="str">
        <f aca="false">IF(B140&lt;&gt;"","CS-"&amp;TEXT(137,"000"),"")</f>
        <v/>
      </c>
      <c r="B140" s="13"/>
      <c r="C140" s="13"/>
      <c r="D140" s="13"/>
      <c r="E140" s="13"/>
      <c r="F140" s="13"/>
      <c r="G140" s="13"/>
      <c r="H140" s="13"/>
      <c r="I140" s="14"/>
      <c r="J140" s="13"/>
    </row>
    <row r="141" customFormat="false" ht="15" hidden="false" customHeight="false" outlineLevel="0" collapsed="false">
      <c r="A141" s="12" t="str">
        <f aca="false">IF(B141&lt;&gt;"","CS-"&amp;TEXT(138,"000"),"")</f>
        <v/>
      </c>
      <c r="B141" s="13"/>
      <c r="C141" s="13"/>
      <c r="D141" s="13"/>
      <c r="E141" s="13"/>
      <c r="F141" s="13"/>
      <c r="G141" s="13"/>
      <c r="H141" s="13"/>
      <c r="I141" s="14"/>
      <c r="J141" s="13"/>
    </row>
    <row r="142" customFormat="false" ht="15" hidden="false" customHeight="false" outlineLevel="0" collapsed="false">
      <c r="A142" s="12" t="str">
        <f aca="false">IF(B142&lt;&gt;"","CS-"&amp;TEXT(139,"000"),"")</f>
        <v/>
      </c>
      <c r="B142" s="13"/>
      <c r="C142" s="13"/>
      <c r="D142" s="13"/>
      <c r="E142" s="13"/>
      <c r="F142" s="13"/>
      <c r="G142" s="13"/>
      <c r="H142" s="13"/>
      <c r="I142" s="14"/>
      <c r="J142" s="13"/>
    </row>
    <row r="143" customFormat="false" ht="15" hidden="false" customHeight="false" outlineLevel="0" collapsed="false">
      <c r="A143" s="12" t="str">
        <f aca="false">IF(B143&lt;&gt;"","CS-"&amp;TEXT(140,"000"),"")</f>
        <v/>
      </c>
      <c r="B143" s="13"/>
      <c r="C143" s="13"/>
      <c r="D143" s="13"/>
      <c r="E143" s="13"/>
      <c r="F143" s="13"/>
      <c r="G143" s="13"/>
      <c r="H143" s="13"/>
      <c r="I143" s="14"/>
      <c r="J143" s="13"/>
    </row>
    <row r="144" customFormat="false" ht="15" hidden="false" customHeight="false" outlineLevel="0" collapsed="false">
      <c r="A144" s="12" t="str">
        <f aca="false">IF(B144&lt;&gt;"","CS-"&amp;TEXT(141,"000"),"")</f>
        <v/>
      </c>
      <c r="B144" s="13"/>
      <c r="C144" s="13"/>
      <c r="D144" s="13"/>
      <c r="E144" s="13"/>
      <c r="F144" s="13"/>
      <c r="G144" s="13"/>
      <c r="H144" s="13"/>
      <c r="I144" s="14"/>
      <c r="J144" s="13"/>
    </row>
    <row r="145" customFormat="false" ht="15" hidden="false" customHeight="false" outlineLevel="0" collapsed="false">
      <c r="A145" s="12" t="str">
        <f aca="false">IF(B145&lt;&gt;"","CS-"&amp;TEXT(142,"000"),"")</f>
        <v/>
      </c>
      <c r="B145" s="13"/>
      <c r="C145" s="13"/>
      <c r="D145" s="13"/>
      <c r="E145" s="13"/>
      <c r="F145" s="13"/>
      <c r="G145" s="13"/>
      <c r="H145" s="13"/>
      <c r="I145" s="14"/>
      <c r="J145" s="13"/>
    </row>
    <row r="146" customFormat="false" ht="15" hidden="false" customHeight="false" outlineLevel="0" collapsed="false">
      <c r="A146" s="12" t="str">
        <f aca="false">IF(B146&lt;&gt;"","CS-"&amp;TEXT(143,"000"),"")</f>
        <v/>
      </c>
      <c r="B146" s="13"/>
      <c r="C146" s="13"/>
      <c r="D146" s="13"/>
      <c r="E146" s="13"/>
      <c r="F146" s="13"/>
      <c r="G146" s="13"/>
      <c r="H146" s="13"/>
      <c r="I146" s="14"/>
      <c r="J146" s="13"/>
    </row>
    <row r="147" customFormat="false" ht="15" hidden="false" customHeight="false" outlineLevel="0" collapsed="false">
      <c r="A147" s="12" t="str">
        <f aca="false">IF(B147&lt;&gt;"","CS-"&amp;TEXT(144,"000"),"")</f>
        <v/>
      </c>
      <c r="B147" s="13"/>
      <c r="C147" s="13"/>
      <c r="D147" s="13"/>
      <c r="E147" s="13"/>
      <c r="F147" s="13"/>
      <c r="G147" s="13"/>
      <c r="H147" s="13"/>
      <c r="I147" s="14"/>
      <c r="J147" s="13"/>
    </row>
    <row r="148" customFormat="false" ht="15" hidden="false" customHeight="false" outlineLevel="0" collapsed="false">
      <c r="A148" s="12" t="str">
        <f aca="false">IF(B148&lt;&gt;"","CS-"&amp;TEXT(145,"000"),"")</f>
        <v/>
      </c>
      <c r="B148" s="13"/>
      <c r="C148" s="13"/>
      <c r="D148" s="13"/>
      <c r="E148" s="13"/>
      <c r="F148" s="13"/>
      <c r="G148" s="13"/>
      <c r="H148" s="13"/>
      <c r="I148" s="14"/>
      <c r="J148" s="13"/>
    </row>
    <row r="149" customFormat="false" ht="15" hidden="false" customHeight="false" outlineLevel="0" collapsed="false">
      <c r="A149" s="12" t="str">
        <f aca="false">IF(B149&lt;&gt;"","CS-"&amp;TEXT(146,"000"),"")</f>
        <v/>
      </c>
      <c r="B149" s="13"/>
      <c r="C149" s="13"/>
      <c r="D149" s="13"/>
      <c r="E149" s="13"/>
      <c r="F149" s="13"/>
      <c r="G149" s="13"/>
      <c r="H149" s="13"/>
      <c r="I149" s="14"/>
      <c r="J149" s="13"/>
    </row>
    <row r="150" customFormat="false" ht="15" hidden="false" customHeight="false" outlineLevel="0" collapsed="false">
      <c r="A150" s="12" t="str">
        <f aca="false">IF(B150&lt;&gt;"","CS-"&amp;TEXT(147,"000"),"")</f>
        <v/>
      </c>
      <c r="B150" s="13"/>
      <c r="C150" s="13"/>
      <c r="D150" s="13"/>
      <c r="E150" s="13"/>
      <c r="F150" s="13"/>
      <c r="G150" s="13"/>
      <c r="H150" s="13"/>
      <c r="I150" s="14"/>
      <c r="J150" s="13"/>
    </row>
    <row r="151" customFormat="false" ht="15" hidden="false" customHeight="false" outlineLevel="0" collapsed="false">
      <c r="A151" s="12" t="str">
        <f aca="false">IF(B151&lt;&gt;"","CS-"&amp;TEXT(148,"000"),"")</f>
        <v/>
      </c>
      <c r="B151" s="13"/>
      <c r="C151" s="13"/>
      <c r="D151" s="13"/>
      <c r="E151" s="13"/>
      <c r="F151" s="13"/>
      <c r="G151" s="13"/>
      <c r="H151" s="13"/>
      <c r="I151" s="14"/>
      <c r="J151" s="13"/>
    </row>
    <row r="152" customFormat="false" ht="15" hidden="false" customHeight="false" outlineLevel="0" collapsed="false">
      <c r="A152" s="12" t="str">
        <f aca="false">IF(B152&lt;&gt;"","CS-"&amp;TEXT(149,"000"),"")</f>
        <v/>
      </c>
      <c r="B152" s="13"/>
      <c r="C152" s="13"/>
      <c r="D152" s="13"/>
      <c r="E152" s="13"/>
      <c r="F152" s="13"/>
      <c r="G152" s="13"/>
      <c r="H152" s="13"/>
      <c r="I152" s="14"/>
      <c r="J152" s="13"/>
    </row>
    <row r="153" customFormat="false" ht="15" hidden="false" customHeight="false" outlineLevel="0" collapsed="false">
      <c r="A153" s="12" t="str">
        <f aca="false">IF(B153&lt;&gt;"","CS-"&amp;TEXT(150,"000"),"")</f>
        <v/>
      </c>
      <c r="B153" s="13"/>
      <c r="C153" s="13"/>
      <c r="D153" s="13"/>
      <c r="E153" s="13"/>
      <c r="F153" s="13"/>
      <c r="G153" s="13"/>
      <c r="H153" s="13"/>
      <c r="I153" s="14"/>
      <c r="J153" s="13"/>
    </row>
    <row r="154" customFormat="false" ht="15" hidden="false" customHeight="false" outlineLevel="0" collapsed="false">
      <c r="A154" s="12" t="str">
        <f aca="false">IF(B154&lt;&gt;"","CS-"&amp;TEXT(151,"000"),"")</f>
        <v/>
      </c>
      <c r="B154" s="13"/>
      <c r="C154" s="13"/>
      <c r="D154" s="13"/>
      <c r="E154" s="13"/>
      <c r="F154" s="13"/>
      <c r="G154" s="13"/>
      <c r="H154" s="13"/>
      <c r="I154" s="14"/>
      <c r="J154" s="13"/>
    </row>
    <row r="155" customFormat="false" ht="15" hidden="false" customHeight="false" outlineLevel="0" collapsed="false">
      <c r="A155" s="12" t="str">
        <f aca="false">IF(B155&lt;&gt;"","CS-"&amp;TEXT(152,"000"),"")</f>
        <v/>
      </c>
      <c r="B155" s="13"/>
      <c r="C155" s="13"/>
      <c r="D155" s="13"/>
      <c r="E155" s="13"/>
      <c r="F155" s="13"/>
      <c r="G155" s="13"/>
      <c r="H155" s="13"/>
      <c r="I155" s="14"/>
      <c r="J155" s="13"/>
    </row>
    <row r="156" customFormat="false" ht="15" hidden="false" customHeight="false" outlineLevel="0" collapsed="false">
      <c r="A156" s="12" t="str">
        <f aca="false">IF(B156&lt;&gt;"","CS-"&amp;TEXT(153,"000"),"")</f>
        <v/>
      </c>
      <c r="B156" s="13"/>
      <c r="C156" s="13"/>
      <c r="D156" s="13"/>
      <c r="E156" s="13"/>
      <c r="F156" s="13"/>
      <c r="G156" s="13"/>
      <c r="H156" s="13"/>
      <c r="I156" s="14"/>
      <c r="J156" s="13"/>
    </row>
    <row r="157" customFormat="false" ht="15" hidden="false" customHeight="false" outlineLevel="0" collapsed="false">
      <c r="A157" s="12" t="str">
        <f aca="false">IF(B157&lt;&gt;"","CS-"&amp;TEXT(154,"000"),"")</f>
        <v/>
      </c>
      <c r="B157" s="13"/>
      <c r="C157" s="13"/>
      <c r="D157" s="13"/>
      <c r="E157" s="13"/>
      <c r="F157" s="13"/>
      <c r="G157" s="13"/>
      <c r="H157" s="13"/>
      <c r="I157" s="14"/>
      <c r="J157" s="13"/>
    </row>
    <row r="158" customFormat="false" ht="15" hidden="false" customHeight="false" outlineLevel="0" collapsed="false">
      <c r="A158" s="12" t="str">
        <f aca="false">IF(B158&lt;&gt;"","CS-"&amp;TEXT(155,"000"),"")</f>
        <v/>
      </c>
      <c r="B158" s="13"/>
      <c r="C158" s="13"/>
      <c r="D158" s="13"/>
      <c r="E158" s="13"/>
      <c r="F158" s="13"/>
      <c r="G158" s="13"/>
      <c r="H158" s="13"/>
      <c r="I158" s="14"/>
      <c r="J158" s="13"/>
    </row>
    <row r="159" customFormat="false" ht="15" hidden="false" customHeight="false" outlineLevel="0" collapsed="false">
      <c r="A159" s="12" t="str">
        <f aca="false">IF(B159&lt;&gt;"","CS-"&amp;TEXT(156,"000"),"")</f>
        <v/>
      </c>
      <c r="B159" s="13"/>
      <c r="C159" s="13"/>
      <c r="D159" s="13"/>
      <c r="E159" s="13"/>
      <c r="F159" s="13"/>
      <c r="G159" s="13"/>
      <c r="H159" s="13"/>
      <c r="I159" s="14"/>
      <c r="J159" s="13"/>
    </row>
    <row r="160" customFormat="false" ht="15" hidden="false" customHeight="false" outlineLevel="0" collapsed="false">
      <c r="A160" s="12" t="str">
        <f aca="false">IF(B160&lt;&gt;"","CS-"&amp;TEXT(157,"000"),"")</f>
        <v/>
      </c>
      <c r="B160" s="13"/>
      <c r="C160" s="13"/>
      <c r="D160" s="13"/>
      <c r="E160" s="13"/>
      <c r="F160" s="13"/>
      <c r="G160" s="13"/>
      <c r="H160" s="13"/>
      <c r="I160" s="14"/>
      <c r="J160" s="13"/>
    </row>
    <row r="161" customFormat="false" ht="15" hidden="false" customHeight="false" outlineLevel="0" collapsed="false">
      <c r="A161" s="12" t="str">
        <f aca="false">IF(B161&lt;&gt;"","CS-"&amp;TEXT(158,"000"),"")</f>
        <v/>
      </c>
      <c r="B161" s="13"/>
      <c r="C161" s="13"/>
      <c r="D161" s="13"/>
      <c r="E161" s="13"/>
      <c r="F161" s="13"/>
      <c r="G161" s="13"/>
      <c r="H161" s="13"/>
      <c r="I161" s="14"/>
      <c r="J161" s="13"/>
    </row>
    <row r="162" customFormat="false" ht="15" hidden="false" customHeight="false" outlineLevel="0" collapsed="false">
      <c r="A162" s="12" t="str">
        <f aca="false">IF(B162&lt;&gt;"","CS-"&amp;TEXT(159,"000"),"")</f>
        <v/>
      </c>
      <c r="B162" s="13"/>
      <c r="C162" s="13"/>
      <c r="D162" s="13"/>
      <c r="E162" s="13"/>
      <c r="F162" s="13"/>
      <c r="G162" s="13"/>
      <c r="H162" s="13"/>
      <c r="I162" s="14"/>
      <c r="J162" s="13"/>
    </row>
    <row r="163" customFormat="false" ht="15" hidden="false" customHeight="false" outlineLevel="0" collapsed="false">
      <c r="A163" s="12" t="str">
        <f aca="false">IF(B163&lt;&gt;"","CS-"&amp;TEXT(160,"000"),"")</f>
        <v/>
      </c>
      <c r="B163" s="13"/>
      <c r="C163" s="13"/>
      <c r="D163" s="13"/>
      <c r="E163" s="13"/>
      <c r="F163" s="13"/>
      <c r="G163" s="13"/>
      <c r="H163" s="13"/>
      <c r="I163" s="14"/>
      <c r="J163" s="13"/>
    </row>
    <row r="164" customFormat="false" ht="15" hidden="false" customHeight="false" outlineLevel="0" collapsed="false">
      <c r="A164" s="12" t="str">
        <f aca="false">IF(B164&lt;&gt;"","CS-"&amp;TEXT(161,"000"),"")</f>
        <v/>
      </c>
      <c r="B164" s="13"/>
      <c r="C164" s="13"/>
      <c r="D164" s="13"/>
      <c r="E164" s="13"/>
      <c r="F164" s="13"/>
      <c r="G164" s="13"/>
      <c r="H164" s="13"/>
      <c r="I164" s="14"/>
      <c r="J164" s="13"/>
    </row>
    <row r="165" customFormat="false" ht="15" hidden="false" customHeight="false" outlineLevel="0" collapsed="false">
      <c r="A165" s="12" t="str">
        <f aca="false">IF(B165&lt;&gt;"","CS-"&amp;TEXT(162,"000"),"")</f>
        <v/>
      </c>
      <c r="B165" s="13"/>
      <c r="C165" s="13"/>
      <c r="D165" s="13"/>
      <c r="E165" s="13"/>
      <c r="F165" s="13"/>
      <c r="G165" s="13"/>
      <c r="H165" s="13"/>
      <c r="I165" s="14"/>
      <c r="J165" s="13"/>
    </row>
    <row r="166" customFormat="false" ht="15" hidden="false" customHeight="false" outlineLevel="0" collapsed="false">
      <c r="A166" s="12" t="str">
        <f aca="false">IF(B166&lt;&gt;"","CS-"&amp;TEXT(163,"000"),"")</f>
        <v/>
      </c>
      <c r="B166" s="13"/>
      <c r="C166" s="13"/>
      <c r="D166" s="13"/>
      <c r="E166" s="13"/>
      <c r="F166" s="13"/>
      <c r="G166" s="13"/>
      <c r="H166" s="13"/>
      <c r="I166" s="14"/>
      <c r="J166" s="13"/>
    </row>
    <row r="167" customFormat="false" ht="15" hidden="false" customHeight="false" outlineLevel="0" collapsed="false">
      <c r="A167" s="12" t="str">
        <f aca="false">IF(B167&lt;&gt;"","CS-"&amp;TEXT(164,"000"),"")</f>
        <v/>
      </c>
      <c r="B167" s="13"/>
      <c r="C167" s="13"/>
      <c r="D167" s="13"/>
      <c r="E167" s="13"/>
      <c r="F167" s="13"/>
      <c r="G167" s="13"/>
      <c r="H167" s="13"/>
      <c r="I167" s="14"/>
      <c r="J167" s="13"/>
    </row>
    <row r="168" customFormat="false" ht="15" hidden="false" customHeight="false" outlineLevel="0" collapsed="false">
      <c r="A168" s="12" t="str">
        <f aca="false">IF(B168&lt;&gt;"","CS-"&amp;TEXT(165,"000"),"")</f>
        <v/>
      </c>
      <c r="B168" s="13"/>
      <c r="C168" s="13"/>
      <c r="D168" s="13"/>
      <c r="E168" s="13"/>
      <c r="F168" s="13"/>
      <c r="G168" s="13"/>
      <c r="H168" s="13"/>
      <c r="I168" s="14"/>
      <c r="J168" s="13"/>
    </row>
    <row r="169" customFormat="false" ht="15" hidden="false" customHeight="false" outlineLevel="0" collapsed="false">
      <c r="A169" s="12" t="str">
        <f aca="false">IF(B169&lt;&gt;"","CS-"&amp;TEXT(166,"000"),"")</f>
        <v/>
      </c>
      <c r="B169" s="13"/>
      <c r="C169" s="13"/>
      <c r="D169" s="13"/>
      <c r="E169" s="13"/>
      <c r="F169" s="13"/>
      <c r="G169" s="13"/>
      <c r="H169" s="13"/>
      <c r="I169" s="14"/>
      <c r="J169" s="13"/>
    </row>
    <row r="170" customFormat="false" ht="15" hidden="false" customHeight="false" outlineLevel="0" collapsed="false">
      <c r="A170" s="12" t="str">
        <f aca="false">IF(B170&lt;&gt;"","CS-"&amp;TEXT(167,"000"),"")</f>
        <v/>
      </c>
      <c r="B170" s="13"/>
      <c r="C170" s="13"/>
      <c r="D170" s="13"/>
      <c r="E170" s="13"/>
      <c r="F170" s="13"/>
      <c r="G170" s="13"/>
      <c r="H170" s="13"/>
      <c r="I170" s="14"/>
      <c r="J170" s="13"/>
    </row>
    <row r="171" customFormat="false" ht="15" hidden="false" customHeight="false" outlineLevel="0" collapsed="false">
      <c r="A171" s="12" t="str">
        <f aca="false">IF(B171&lt;&gt;"","CS-"&amp;TEXT(168,"000"),"")</f>
        <v/>
      </c>
      <c r="B171" s="13"/>
      <c r="C171" s="13"/>
      <c r="D171" s="13"/>
      <c r="E171" s="13"/>
      <c r="F171" s="13"/>
      <c r="G171" s="13"/>
      <c r="H171" s="13"/>
      <c r="I171" s="14"/>
      <c r="J171" s="13"/>
    </row>
    <row r="172" customFormat="false" ht="15" hidden="false" customHeight="false" outlineLevel="0" collapsed="false">
      <c r="A172" s="12" t="str">
        <f aca="false">IF(B172&lt;&gt;"","CS-"&amp;TEXT(169,"000"),"")</f>
        <v/>
      </c>
      <c r="B172" s="13"/>
      <c r="C172" s="13"/>
      <c r="D172" s="13"/>
      <c r="E172" s="13"/>
      <c r="F172" s="13"/>
      <c r="G172" s="13"/>
      <c r="H172" s="13"/>
      <c r="I172" s="14"/>
      <c r="J172" s="13"/>
    </row>
    <row r="173" customFormat="false" ht="15" hidden="false" customHeight="false" outlineLevel="0" collapsed="false">
      <c r="A173" s="12" t="str">
        <f aca="false">IF(B173&lt;&gt;"","CS-"&amp;TEXT(170,"000"),"")</f>
        <v/>
      </c>
      <c r="B173" s="13"/>
      <c r="C173" s="13"/>
      <c r="D173" s="13"/>
      <c r="E173" s="13"/>
      <c r="F173" s="13"/>
      <c r="G173" s="13"/>
      <c r="H173" s="13"/>
      <c r="I173" s="14"/>
      <c r="J173" s="13"/>
    </row>
    <row r="174" customFormat="false" ht="15" hidden="false" customHeight="false" outlineLevel="0" collapsed="false">
      <c r="A174" s="12" t="str">
        <f aca="false">IF(B174&lt;&gt;"","CS-"&amp;TEXT(171,"000"),"")</f>
        <v/>
      </c>
      <c r="B174" s="13"/>
      <c r="C174" s="13"/>
      <c r="D174" s="13"/>
      <c r="E174" s="13"/>
      <c r="F174" s="13"/>
      <c r="G174" s="13"/>
      <c r="H174" s="13"/>
      <c r="I174" s="14"/>
      <c r="J174" s="13"/>
    </row>
    <row r="175" customFormat="false" ht="15" hidden="false" customHeight="false" outlineLevel="0" collapsed="false">
      <c r="A175" s="12" t="str">
        <f aca="false">IF(B175&lt;&gt;"","CS-"&amp;TEXT(172,"000"),"")</f>
        <v/>
      </c>
      <c r="B175" s="13"/>
      <c r="C175" s="13"/>
      <c r="D175" s="13"/>
      <c r="E175" s="13"/>
      <c r="F175" s="13"/>
      <c r="G175" s="13"/>
      <c r="H175" s="13"/>
      <c r="I175" s="14"/>
      <c r="J175" s="13"/>
    </row>
    <row r="176" customFormat="false" ht="15" hidden="false" customHeight="false" outlineLevel="0" collapsed="false">
      <c r="A176" s="12" t="str">
        <f aca="false">IF(B176&lt;&gt;"","CS-"&amp;TEXT(173,"000"),"")</f>
        <v/>
      </c>
      <c r="B176" s="13"/>
      <c r="C176" s="13"/>
      <c r="D176" s="13"/>
      <c r="E176" s="13"/>
      <c r="F176" s="13"/>
      <c r="G176" s="13"/>
      <c r="H176" s="13"/>
      <c r="I176" s="14"/>
      <c r="J176" s="13"/>
    </row>
    <row r="177" customFormat="false" ht="15" hidden="false" customHeight="false" outlineLevel="0" collapsed="false">
      <c r="A177" s="12" t="str">
        <f aca="false">IF(B177&lt;&gt;"","CS-"&amp;TEXT(174,"000"),"")</f>
        <v/>
      </c>
      <c r="B177" s="13"/>
      <c r="C177" s="13"/>
      <c r="D177" s="13"/>
      <c r="E177" s="13"/>
      <c r="F177" s="13"/>
      <c r="G177" s="13"/>
      <c r="H177" s="13"/>
      <c r="I177" s="14"/>
      <c r="J177" s="13"/>
    </row>
    <row r="178" customFormat="false" ht="15" hidden="false" customHeight="false" outlineLevel="0" collapsed="false">
      <c r="A178" s="12" t="str">
        <f aca="false">IF(B178&lt;&gt;"","CS-"&amp;TEXT(175,"000"),"")</f>
        <v/>
      </c>
      <c r="B178" s="13"/>
      <c r="C178" s="13"/>
      <c r="D178" s="13"/>
      <c r="E178" s="13"/>
      <c r="F178" s="13"/>
      <c r="G178" s="13"/>
      <c r="H178" s="13"/>
      <c r="I178" s="14"/>
      <c r="J178" s="13"/>
    </row>
    <row r="179" customFormat="false" ht="15" hidden="false" customHeight="false" outlineLevel="0" collapsed="false">
      <c r="A179" s="12" t="str">
        <f aca="false">IF(B179&lt;&gt;"","CS-"&amp;TEXT(176,"000"),"")</f>
        <v/>
      </c>
      <c r="B179" s="13"/>
      <c r="C179" s="13"/>
      <c r="D179" s="13"/>
      <c r="E179" s="13"/>
      <c r="F179" s="13"/>
      <c r="G179" s="13"/>
      <c r="H179" s="13"/>
      <c r="I179" s="14"/>
      <c r="J179" s="13"/>
    </row>
    <row r="180" customFormat="false" ht="15" hidden="false" customHeight="false" outlineLevel="0" collapsed="false">
      <c r="A180" s="12" t="str">
        <f aca="false">IF(B180&lt;&gt;"","CS-"&amp;TEXT(177,"000"),"")</f>
        <v/>
      </c>
      <c r="B180" s="13"/>
      <c r="C180" s="13"/>
      <c r="D180" s="13"/>
      <c r="E180" s="13"/>
      <c r="F180" s="13"/>
      <c r="G180" s="13"/>
      <c r="H180" s="13"/>
      <c r="I180" s="14"/>
      <c r="J180" s="13"/>
    </row>
    <row r="181" customFormat="false" ht="15" hidden="false" customHeight="false" outlineLevel="0" collapsed="false">
      <c r="A181" s="12" t="str">
        <f aca="false">IF(B181&lt;&gt;"","CS-"&amp;TEXT(178,"000"),"")</f>
        <v/>
      </c>
      <c r="B181" s="13"/>
      <c r="C181" s="13"/>
      <c r="D181" s="13"/>
      <c r="E181" s="13"/>
      <c r="F181" s="13"/>
      <c r="G181" s="13"/>
      <c r="H181" s="13"/>
      <c r="I181" s="14"/>
      <c r="J181" s="13"/>
    </row>
    <row r="182" customFormat="false" ht="15" hidden="false" customHeight="false" outlineLevel="0" collapsed="false">
      <c r="A182" s="12" t="str">
        <f aca="false">IF(B182&lt;&gt;"","CS-"&amp;TEXT(179,"000"),"")</f>
        <v/>
      </c>
      <c r="B182" s="13"/>
      <c r="C182" s="13"/>
      <c r="D182" s="13"/>
      <c r="E182" s="13"/>
      <c r="F182" s="13"/>
      <c r="G182" s="13"/>
      <c r="H182" s="13"/>
      <c r="I182" s="14"/>
      <c r="J182" s="13"/>
    </row>
    <row r="183" customFormat="false" ht="15" hidden="false" customHeight="false" outlineLevel="0" collapsed="false">
      <c r="A183" s="12" t="str">
        <f aca="false">IF(B183&lt;&gt;"","CS-"&amp;TEXT(180,"000"),"")</f>
        <v/>
      </c>
      <c r="B183" s="13"/>
      <c r="C183" s="13"/>
      <c r="D183" s="13"/>
      <c r="E183" s="13"/>
      <c r="F183" s="13"/>
      <c r="G183" s="13"/>
      <c r="H183" s="13"/>
      <c r="I183" s="14"/>
      <c r="J183" s="13"/>
    </row>
    <row r="184" customFormat="false" ht="15" hidden="false" customHeight="false" outlineLevel="0" collapsed="false">
      <c r="A184" s="12" t="str">
        <f aca="false">IF(B184&lt;&gt;"","CS-"&amp;TEXT(181,"000"),"")</f>
        <v/>
      </c>
      <c r="B184" s="13"/>
      <c r="C184" s="13"/>
      <c r="D184" s="13"/>
      <c r="E184" s="13"/>
      <c r="F184" s="13"/>
      <c r="G184" s="13"/>
      <c r="H184" s="13"/>
      <c r="I184" s="14"/>
      <c r="J184" s="13"/>
    </row>
    <row r="185" customFormat="false" ht="15" hidden="false" customHeight="false" outlineLevel="0" collapsed="false">
      <c r="A185" s="12" t="str">
        <f aca="false">IF(B185&lt;&gt;"","CS-"&amp;TEXT(182,"000"),"")</f>
        <v/>
      </c>
      <c r="B185" s="13"/>
      <c r="C185" s="13"/>
      <c r="D185" s="13"/>
      <c r="E185" s="13"/>
      <c r="F185" s="13"/>
      <c r="G185" s="13"/>
      <c r="H185" s="13"/>
      <c r="I185" s="14"/>
      <c r="J185" s="13"/>
    </row>
    <row r="186" customFormat="false" ht="15" hidden="false" customHeight="false" outlineLevel="0" collapsed="false">
      <c r="A186" s="12" t="str">
        <f aca="false">IF(B186&lt;&gt;"","CS-"&amp;TEXT(183,"000"),"")</f>
        <v/>
      </c>
      <c r="B186" s="13"/>
      <c r="C186" s="13"/>
      <c r="D186" s="13"/>
      <c r="E186" s="13"/>
      <c r="F186" s="13"/>
      <c r="G186" s="13"/>
      <c r="H186" s="13"/>
      <c r="I186" s="14"/>
      <c r="J186" s="13"/>
    </row>
    <row r="187" customFormat="false" ht="15" hidden="false" customHeight="false" outlineLevel="0" collapsed="false">
      <c r="A187" s="12" t="str">
        <f aca="false">IF(B187&lt;&gt;"","CS-"&amp;TEXT(184,"000"),"")</f>
        <v/>
      </c>
      <c r="B187" s="13"/>
      <c r="C187" s="13"/>
      <c r="D187" s="13"/>
      <c r="E187" s="13"/>
      <c r="F187" s="13"/>
      <c r="G187" s="13"/>
      <c r="H187" s="13"/>
      <c r="I187" s="14"/>
      <c r="J187" s="13"/>
    </row>
    <row r="188" customFormat="false" ht="15" hidden="false" customHeight="false" outlineLevel="0" collapsed="false">
      <c r="A188" s="12" t="str">
        <f aca="false">IF(B188&lt;&gt;"","CS-"&amp;TEXT(185,"000"),"")</f>
        <v/>
      </c>
      <c r="B188" s="13"/>
      <c r="C188" s="13"/>
      <c r="D188" s="13"/>
      <c r="E188" s="13"/>
      <c r="F188" s="13"/>
      <c r="G188" s="13"/>
      <c r="H188" s="13"/>
      <c r="I188" s="14"/>
      <c r="J188" s="13"/>
    </row>
    <row r="189" customFormat="false" ht="15" hidden="false" customHeight="false" outlineLevel="0" collapsed="false">
      <c r="A189" s="12" t="str">
        <f aca="false">IF(B189&lt;&gt;"","CS-"&amp;TEXT(186,"000"),"")</f>
        <v/>
      </c>
      <c r="B189" s="13"/>
      <c r="C189" s="13"/>
      <c r="D189" s="13"/>
      <c r="E189" s="13"/>
      <c r="F189" s="13"/>
      <c r="G189" s="13"/>
      <c r="H189" s="13"/>
      <c r="I189" s="14"/>
      <c r="J189" s="13"/>
    </row>
    <row r="190" customFormat="false" ht="15" hidden="false" customHeight="false" outlineLevel="0" collapsed="false">
      <c r="A190" s="12" t="str">
        <f aca="false">IF(B190&lt;&gt;"","CS-"&amp;TEXT(187,"000"),"")</f>
        <v/>
      </c>
      <c r="B190" s="13"/>
      <c r="C190" s="13"/>
      <c r="D190" s="13"/>
      <c r="E190" s="13"/>
      <c r="F190" s="13"/>
      <c r="G190" s="13"/>
      <c r="H190" s="13"/>
      <c r="I190" s="14"/>
      <c r="J190" s="13"/>
    </row>
    <row r="191" customFormat="false" ht="15" hidden="false" customHeight="false" outlineLevel="0" collapsed="false">
      <c r="A191" s="12" t="str">
        <f aca="false">IF(B191&lt;&gt;"","CS-"&amp;TEXT(188,"000"),"")</f>
        <v/>
      </c>
      <c r="B191" s="13"/>
      <c r="C191" s="13"/>
      <c r="D191" s="13"/>
      <c r="E191" s="13"/>
      <c r="F191" s="13"/>
      <c r="G191" s="13"/>
      <c r="H191" s="13"/>
      <c r="I191" s="14"/>
      <c r="J191" s="13"/>
    </row>
    <row r="192" customFormat="false" ht="15" hidden="false" customHeight="false" outlineLevel="0" collapsed="false">
      <c r="A192" s="12" t="str">
        <f aca="false">IF(B192&lt;&gt;"","CS-"&amp;TEXT(189,"000"),"")</f>
        <v/>
      </c>
      <c r="B192" s="13"/>
      <c r="C192" s="13"/>
      <c r="D192" s="13"/>
      <c r="E192" s="13"/>
      <c r="F192" s="13"/>
      <c r="G192" s="13"/>
      <c r="H192" s="13"/>
      <c r="I192" s="14"/>
      <c r="J192" s="13"/>
    </row>
    <row r="193" customFormat="false" ht="15" hidden="false" customHeight="false" outlineLevel="0" collapsed="false">
      <c r="A193" s="12" t="str">
        <f aca="false">IF(B193&lt;&gt;"","CS-"&amp;TEXT(190,"000"),"")</f>
        <v/>
      </c>
      <c r="B193" s="13"/>
      <c r="C193" s="13"/>
      <c r="D193" s="13"/>
      <c r="E193" s="13"/>
      <c r="F193" s="13"/>
      <c r="G193" s="13"/>
      <c r="H193" s="13"/>
      <c r="I193" s="14"/>
      <c r="J193" s="13"/>
    </row>
    <row r="194" customFormat="false" ht="15" hidden="false" customHeight="false" outlineLevel="0" collapsed="false">
      <c r="A194" s="12" t="str">
        <f aca="false">IF(B194&lt;&gt;"","CS-"&amp;TEXT(191,"000"),"")</f>
        <v/>
      </c>
      <c r="B194" s="13"/>
      <c r="C194" s="13"/>
      <c r="D194" s="13"/>
      <c r="E194" s="13"/>
      <c r="F194" s="13"/>
      <c r="G194" s="13"/>
      <c r="H194" s="13"/>
      <c r="I194" s="14"/>
      <c r="J194" s="13"/>
    </row>
    <row r="195" customFormat="false" ht="15" hidden="false" customHeight="false" outlineLevel="0" collapsed="false">
      <c r="A195" s="12" t="str">
        <f aca="false">IF(B195&lt;&gt;"","CS-"&amp;TEXT(192,"000"),"")</f>
        <v/>
      </c>
      <c r="B195" s="13"/>
      <c r="C195" s="13"/>
      <c r="D195" s="13"/>
      <c r="E195" s="13"/>
      <c r="F195" s="13"/>
      <c r="G195" s="13"/>
      <c r="H195" s="13"/>
      <c r="I195" s="14"/>
      <c r="J195" s="13"/>
    </row>
    <row r="196" customFormat="false" ht="15" hidden="false" customHeight="false" outlineLevel="0" collapsed="false">
      <c r="A196" s="12" t="str">
        <f aca="false">IF(B196&lt;&gt;"","CS-"&amp;TEXT(193,"000"),"")</f>
        <v/>
      </c>
      <c r="B196" s="13"/>
      <c r="C196" s="13"/>
      <c r="D196" s="13"/>
      <c r="E196" s="13"/>
      <c r="F196" s="13"/>
      <c r="G196" s="13"/>
      <c r="H196" s="13"/>
      <c r="I196" s="14"/>
      <c r="J196" s="13"/>
    </row>
    <row r="197" customFormat="false" ht="15" hidden="false" customHeight="false" outlineLevel="0" collapsed="false">
      <c r="A197" s="12" t="str">
        <f aca="false">IF(B197&lt;&gt;"","CS-"&amp;TEXT(194,"000"),"")</f>
        <v/>
      </c>
      <c r="B197" s="13"/>
      <c r="C197" s="13"/>
      <c r="D197" s="13"/>
      <c r="E197" s="13"/>
      <c r="F197" s="13"/>
      <c r="G197" s="13"/>
      <c r="H197" s="13"/>
      <c r="I197" s="14"/>
      <c r="J197" s="13"/>
    </row>
    <row r="198" customFormat="false" ht="15" hidden="false" customHeight="false" outlineLevel="0" collapsed="false">
      <c r="A198" s="12" t="str">
        <f aca="false">IF(B198&lt;&gt;"","CS-"&amp;TEXT(195,"000"),"")</f>
        <v/>
      </c>
      <c r="B198" s="13"/>
      <c r="C198" s="13"/>
      <c r="D198" s="13"/>
      <c r="E198" s="13"/>
      <c r="F198" s="13"/>
      <c r="G198" s="13"/>
      <c r="H198" s="13"/>
      <c r="I198" s="14"/>
      <c r="J198" s="13"/>
    </row>
    <row r="199" customFormat="false" ht="15" hidden="false" customHeight="false" outlineLevel="0" collapsed="false">
      <c r="A199" s="12" t="str">
        <f aca="false">IF(B199&lt;&gt;"","CS-"&amp;TEXT(196,"000"),"")</f>
        <v/>
      </c>
      <c r="B199" s="13"/>
      <c r="C199" s="13"/>
      <c r="D199" s="13"/>
      <c r="E199" s="13"/>
      <c r="F199" s="13"/>
      <c r="G199" s="13"/>
      <c r="H199" s="13"/>
      <c r="I199" s="14"/>
      <c r="J199" s="13"/>
    </row>
    <row r="200" customFormat="false" ht="15" hidden="false" customHeight="false" outlineLevel="0" collapsed="false">
      <c r="A200" s="12" t="str">
        <f aca="false">IF(B200&lt;&gt;"","CS-"&amp;TEXT(197,"000"),"")</f>
        <v/>
      </c>
      <c r="B200" s="13"/>
      <c r="C200" s="13"/>
      <c r="D200" s="13"/>
      <c r="E200" s="13"/>
      <c r="F200" s="13"/>
      <c r="G200" s="13"/>
      <c r="H200" s="13"/>
      <c r="I200" s="14"/>
      <c r="J200" s="13"/>
    </row>
    <row r="201" customFormat="false" ht="15" hidden="false" customHeight="false" outlineLevel="0" collapsed="false">
      <c r="A201" s="12" t="str">
        <f aca="false">IF(B201&lt;&gt;"","CS-"&amp;TEXT(198,"000"),"")</f>
        <v/>
      </c>
      <c r="B201" s="13"/>
      <c r="C201" s="13"/>
      <c r="D201" s="13"/>
      <c r="E201" s="13"/>
      <c r="F201" s="13"/>
      <c r="G201" s="13"/>
      <c r="H201" s="13"/>
      <c r="I201" s="14"/>
      <c r="J201" s="13"/>
    </row>
    <row r="202" customFormat="false" ht="15" hidden="false" customHeight="false" outlineLevel="0" collapsed="false">
      <c r="A202" s="12" t="str">
        <f aca="false">IF(B202&lt;&gt;"","CS-"&amp;TEXT(199,"000"),"")</f>
        <v/>
      </c>
      <c r="B202" s="13"/>
      <c r="C202" s="13"/>
      <c r="D202" s="13"/>
      <c r="E202" s="13"/>
      <c r="F202" s="13"/>
      <c r="G202" s="13"/>
      <c r="H202" s="13"/>
      <c r="I202" s="14"/>
      <c r="J202" s="13"/>
    </row>
    <row r="203" customFormat="false" ht="15" hidden="false" customHeight="false" outlineLevel="0" collapsed="false">
      <c r="A203" s="12" t="str">
        <f aca="false">IF(B203&lt;&gt;"","CS-"&amp;TEXT(200,"000"),"")</f>
        <v/>
      </c>
      <c r="B203" s="13"/>
      <c r="C203" s="13"/>
      <c r="D203" s="13"/>
      <c r="E203" s="13"/>
      <c r="F203" s="13"/>
      <c r="G203" s="13"/>
      <c r="H203" s="13"/>
      <c r="I203" s="14"/>
      <c r="J203" s="13"/>
    </row>
    <row r="204" customFormat="false" ht="15" hidden="false" customHeight="false" outlineLevel="0" collapsed="false">
      <c r="A204" s="12" t="str">
        <f aca="false">IF(B204&lt;&gt;"","CS-"&amp;TEXT(201,"000"),"")</f>
        <v/>
      </c>
      <c r="B204" s="13"/>
      <c r="C204" s="13"/>
      <c r="D204" s="13"/>
      <c r="E204" s="13"/>
      <c r="F204" s="13"/>
      <c r="G204" s="13"/>
      <c r="H204" s="13"/>
      <c r="I204" s="14"/>
      <c r="J204" s="13"/>
    </row>
    <row r="205" customFormat="false" ht="15" hidden="false" customHeight="false" outlineLevel="0" collapsed="false">
      <c r="A205" s="12" t="str">
        <f aca="false">IF(B205&lt;&gt;"","CS-"&amp;TEXT(202,"000"),"")</f>
        <v/>
      </c>
      <c r="B205" s="13"/>
      <c r="C205" s="13"/>
      <c r="D205" s="13"/>
      <c r="E205" s="13"/>
      <c r="F205" s="13"/>
      <c r="G205" s="13"/>
      <c r="H205" s="13"/>
      <c r="I205" s="14"/>
      <c r="J205" s="13"/>
    </row>
    <row r="206" customFormat="false" ht="15" hidden="false" customHeight="false" outlineLevel="0" collapsed="false">
      <c r="A206" s="12" t="str">
        <f aca="false">IF(B206&lt;&gt;"","CS-"&amp;TEXT(203,"000"),"")</f>
        <v/>
      </c>
      <c r="B206" s="13"/>
      <c r="C206" s="13"/>
      <c r="D206" s="13"/>
      <c r="E206" s="13"/>
      <c r="F206" s="13"/>
      <c r="G206" s="13"/>
      <c r="H206" s="13"/>
      <c r="I206" s="14"/>
      <c r="J206" s="13"/>
    </row>
    <row r="207" customFormat="false" ht="15" hidden="false" customHeight="false" outlineLevel="0" collapsed="false">
      <c r="A207" s="12" t="str">
        <f aca="false">IF(B207&lt;&gt;"","CS-"&amp;TEXT(204,"000"),"")</f>
        <v/>
      </c>
      <c r="B207" s="13"/>
      <c r="C207" s="13"/>
      <c r="D207" s="13"/>
      <c r="E207" s="13"/>
      <c r="F207" s="13"/>
      <c r="G207" s="13"/>
      <c r="H207" s="13"/>
      <c r="I207" s="14"/>
      <c r="J207" s="13"/>
    </row>
    <row r="208" customFormat="false" ht="15" hidden="false" customHeight="false" outlineLevel="0" collapsed="false">
      <c r="A208" s="12" t="str">
        <f aca="false">IF(B208&lt;&gt;"","CS-"&amp;TEXT(205,"000"),"")</f>
        <v/>
      </c>
      <c r="B208" s="13"/>
      <c r="C208" s="13"/>
      <c r="D208" s="13"/>
      <c r="E208" s="13"/>
      <c r="F208" s="13"/>
      <c r="G208" s="13"/>
      <c r="H208" s="13"/>
      <c r="I208" s="14"/>
      <c r="J208" s="13"/>
    </row>
    <row r="209" customFormat="false" ht="15" hidden="false" customHeight="false" outlineLevel="0" collapsed="false">
      <c r="A209" s="12" t="str">
        <f aca="false">IF(B209&lt;&gt;"","CS-"&amp;TEXT(206,"000"),"")</f>
        <v/>
      </c>
      <c r="B209" s="13"/>
      <c r="C209" s="13"/>
      <c r="D209" s="13"/>
      <c r="E209" s="13"/>
      <c r="F209" s="13"/>
      <c r="G209" s="13"/>
      <c r="H209" s="13"/>
      <c r="I209" s="14"/>
      <c r="J209" s="13"/>
    </row>
    <row r="210" customFormat="false" ht="15" hidden="false" customHeight="false" outlineLevel="0" collapsed="false">
      <c r="A210" s="12" t="str">
        <f aca="false">IF(B210&lt;&gt;"","CS-"&amp;TEXT(207,"000"),"")</f>
        <v/>
      </c>
      <c r="B210" s="13"/>
      <c r="C210" s="13"/>
      <c r="D210" s="13"/>
      <c r="E210" s="13"/>
      <c r="F210" s="13"/>
      <c r="G210" s="13"/>
      <c r="H210" s="13"/>
      <c r="I210" s="14"/>
      <c r="J210" s="13"/>
    </row>
    <row r="211" customFormat="false" ht="15" hidden="false" customHeight="false" outlineLevel="0" collapsed="false">
      <c r="A211" s="12" t="str">
        <f aca="false">IF(B211&lt;&gt;"","CS-"&amp;TEXT(208,"000"),"")</f>
        <v/>
      </c>
      <c r="B211" s="13"/>
      <c r="C211" s="13"/>
      <c r="D211" s="13"/>
      <c r="E211" s="13"/>
      <c r="F211" s="13"/>
      <c r="G211" s="13"/>
      <c r="H211" s="13"/>
      <c r="I211" s="14"/>
      <c r="J211" s="13"/>
    </row>
    <row r="212" customFormat="false" ht="15" hidden="false" customHeight="false" outlineLevel="0" collapsed="false">
      <c r="A212" s="12" t="str">
        <f aca="false">IF(B212&lt;&gt;"","CS-"&amp;TEXT(209,"000"),"")</f>
        <v/>
      </c>
      <c r="B212" s="13"/>
      <c r="C212" s="13"/>
      <c r="D212" s="13"/>
      <c r="E212" s="13"/>
      <c r="F212" s="13"/>
      <c r="G212" s="13"/>
      <c r="H212" s="13"/>
      <c r="I212" s="14"/>
      <c r="J212" s="13"/>
    </row>
    <row r="213" customFormat="false" ht="15" hidden="false" customHeight="false" outlineLevel="0" collapsed="false">
      <c r="A213" s="12" t="str">
        <f aca="false">IF(B213&lt;&gt;"","CS-"&amp;TEXT(210,"000"),"")</f>
        <v/>
      </c>
      <c r="B213" s="13"/>
      <c r="C213" s="13"/>
      <c r="D213" s="13"/>
      <c r="E213" s="13"/>
      <c r="F213" s="13"/>
      <c r="G213" s="13"/>
      <c r="H213" s="13"/>
      <c r="I213" s="14"/>
      <c r="J213" s="13"/>
    </row>
    <row r="214" customFormat="false" ht="15" hidden="false" customHeight="false" outlineLevel="0" collapsed="false">
      <c r="A214" s="12" t="str">
        <f aca="false">IF(B214&lt;&gt;"","CS-"&amp;TEXT(211,"000"),"")</f>
        <v/>
      </c>
      <c r="B214" s="13"/>
      <c r="C214" s="13"/>
      <c r="D214" s="13"/>
      <c r="E214" s="13"/>
      <c r="F214" s="13"/>
      <c r="G214" s="13"/>
      <c r="H214" s="13"/>
      <c r="I214" s="14"/>
      <c r="J214" s="13"/>
    </row>
    <row r="215" customFormat="false" ht="15" hidden="false" customHeight="false" outlineLevel="0" collapsed="false">
      <c r="A215" s="12" t="str">
        <f aca="false">IF(B215&lt;&gt;"","CS-"&amp;TEXT(212,"000"),"")</f>
        <v/>
      </c>
      <c r="B215" s="13"/>
      <c r="C215" s="13"/>
      <c r="D215" s="13"/>
      <c r="E215" s="13"/>
      <c r="F215" s="13"/>
      <c r="G215" s="13"/>
      <c r="H215" s="13"/>
      <c r="I215" s="14"/>
      <c r="J215" s="13"/>
    </row>
    <row r="216" customFormat="false" ht="15" hidden="false" customHeight="false" outlineLevel="0" collapsed="false">
      <c r="A216" s="12" t="str">
        <f aca="false">IF(B216&lt;&gt;"","CS-"&amp;TEXT(213,"000"),"")</f>
        <v/>
      </c>
      <c r="B216" s="13"/>
      <c r="C216" s="13"/>
      <c r="D216" s="13"/>
      <c r="E216" s="13"/>
      <c r="F216" s="13"/>
      <c r="G216" s="13"/>
      <c r="H216" s="13"/>
      <c r="I216" s="14"/>
      <c r="J216" s="13"/>
    </row>
    <row r="217" customFormat="false" ht="15" hidden="false" customHeight="false" outlineLevel="0" collapsed="false">
      <c r="A217" s="12" t="str">
        <f aca="false">IF(B217&lt;&gt;"","CS-"&amp;TEXT(214,"000"),"")</f>
        <v/>
      </c>
      <c r="B217" s="13"/>
      <c r="C217" s="13"/>
      <c r="D217" s="13"/>
      <c r="E217" s="13"/>
      <c r="F217" s="13"/>
      <c r="G217" s="13"/>
      <c r="H217" s="13"/>
      <c r="I217" s="14"/>
      <c r="J217" s="13"/>
    </row>
    <row r="218" customFormat="false" ht="15" hidden="false" customHeight="false" outlineLevel="0" collapsed="false">
      <c r="A218" s="12" t="str">
        <f aca="false">IF(B218&lt;&gt;"","CS-"&amp;TEXT(215,"000"),"")</f>
        <v/>
      </c>
      <c r="B218" s="13"/>
      <c r="C218" s="13"/>
      <c r="D218" s="13"/>
      <c r="E218" s="13"/>
      <c r="F218" s="13"/>
      <c r="G218" s="13"/>
      <c r="H218" s="13"/>
      <c r="I218" s="14"/>
      <c r="J218" s="13"/>
    </row>
    <row r="219" customFormat="false" ht="15" hidden="false" customHeight="false" outlineLevel="0" collapsed="false">
      <c r="A219" s="12" t="str">
        <f aca="false">IF(B219&lt;&gt;"","CS-"&amp;TEXT(216,"000"),"")</f>
        <v/>
      </c>
      <c r="B219" s="13"/>
      <c r="C219" s="13"/>
      <c r="D219" s="13"/>
      <c r="E219" s="13"/>
      <c r="F219" s="13"/>
      <c r="G219" s="13"/>
      <c r="H219" s="13"/>
      <c r="I219" s="14"/>
      <c r="J219" s="13"/>
    </row>
    <row r="220" customFormat="false" ht="15" hidden="false" customHeight="false" outlineLevel="0" collapsed="false">
      <c r="A220" s="12" t="str">
        <f aca="false">IF(B220&lt;&gt;"","CS-"&amp;TEXT(217,"000"),"")</f>
        <v/>
      </c>
      <c r="B220" s="13"/>
      <c r="C220" s="13"/>
      <c r="D220" s="13"/>
      <c r="E220" s="13"/>
      <c r="F220" s="13"/>
      <c r="G220" s="13"/>
      <c r="H220" s="13"/>
      <c r="I220" s="14"/>
      <c r="J220" s="13"/>
    </row>
    <row r="221" customFormat="false" ht="15" hidden="false" customHeight="false" outlineLevel="0" collapsed="false">
      <c r="A221" s="12" t="str">
        <f aca="false">IF(B221&lt;&gt;"","CS-"&amp;TEXT(218,"000"),"")</f>
        <v/>
      </c>
      <c r="B221" s="13"/>
      <c r="C221" s="13"/>
      <c r="D221" s="13"/>
      <c r="E221" s="13"/>
      <c r="F221" s="13"/>
      <c r="G221" s="13"/>
      <c r="H221" s="13"/>
      <c r="I221" s="14"/>
      <c r="J221" s="13"/>
    </row>
    <row r="222" customFormat="false" ht="15" hidden="false" customHeight="false" outlineLevel="0" collapsed="false">
      <c r="A222" s="12" t="str">
        <f aca="false">IF(B222&lt;&gt;"","CS-"&amp;TEXT(219,"000"),"")</f>
        <v/>
      </c>
      <c r="B222" s="13"/>
      <c r="C222" s="13"/>
      <c r="D222" s="13"/>
      <c r="E222" s="13"/>
      <c r="F222" s="13"/>
      <c r="G222" s="13"/>
      <c r="H222" s="13"/>
      <c r="I222" s="14"/>
      <c r="J222" s="13"/>
    </row>
    <row r="223" customFormat="false" ht="15" hidden="false" customHeight="false" outlineLevel="0" collapsed="false">
      <c r="A223" s="12" t="str">
        <f aca="false">IF(B223&lt;&gt;"","CS-"&amp;TEXT(220,"000"),"")</f>
        <v/>
      </c>
      <c r="B223" s="13"/>
      <c r="C223" s="13"/>
      <c r="D223" s="13"/>
      <c r="E223" s="13"/>
      <c r="F223" s="13"/>
      <c r="G223" s="13"/>
      <c r="H223" s="13"/>
      <c r="I223" s="14"/>
      <c r="J223" s="13"/>
    </row>
    <row r="224" customFormat="false" ht="15" hidden="false" customHeight="false" outlineLevel="0" collapsed="false">
      <c r="A224" s="12" t="str">
        <f aca="false">IF(B224&lt;&gt;"","CS-"&amp;TEXT(221,"000"),"")</f>
        <v/>
      </c>
      <c r="B224" s="13"/>
      <c r="C224" s="13"/>
      <c r="D224" s="13"/>
      <c r="E224" s="13"/>
      <c r="F224" s="13"/>
      <c r="G224" s="13"/>
      <c r="H224" s="13"/>
      <c r="I224" s="14"/>
      <c r="J224" s="13"/>
    </row>
    <row r="225" customFormat="false" ht="15" hidden="false" customHeight="false" outlineLevel="0" collapsed="false">
      <c r="A225" s="12" t="str">
        <f aca="false">IF(B225&lt;&gt;"","CS-"&amp;TEXT(222,"000"),"")</f>
        <v/>
      </c>
      <c r="B225" s="13"/>
      <c r="C225" s="13"/>
      <c r="D225" s="13"/>
      <c r="E225" s="13"/>
      <c r="F225" s="13"/>
      <c r="G225" s="13"/>
      <c r="H225" s="13"/>
      <c r="I225" s="14"/>
      <c r="J225" s="13"/>
    </row>
    <row r="226" customFormat="false" ht="15" hidden="false" customHeight="false" outlineLevel="0" collapsed="false">
      <c r="A226" s="12" t="str">
        <f aca="false">IF(B226&lt;&gt;"","CS-"&amp;TEXT(223,"000"),"")</f>
        <v/>
      </c>
      <c r="B226" s="13"/>
      <c r="C226" s="13"/>
      <c r="D226" s="13"/>
      <c r="E226" s="13"/>
      <c r="F226" s="13"/>
      <c r="G226" s="13"/>
      <c r="H226" s="13"/>
      <c r="I226" s="14"/>
      <c r="J226" s="13"/>
    </row>
    <row r="227" customFormat="false" ht="15" hidden="false" customHeight="false" outlineLevel="0" collapsed="false">
      <c r="A227" s="12" t="str">
        <f aca="false">IF(B227&lt;&gt;"","CS-"&amp;TEXT(224,"000"),"")</f>
        <v/>
      </c>
      <c r="B227" s="13"/>
      <c r="C227" s="13"/>
      <c r="D227" s="13"/>
      <c r="E227" s="13"/>
      <c r="F227" s="13"/>
      <c r="G227" s="13"/>
      <c r="H227" s="13"/>
      <c r="I227" s="14"/>
      <c r="J227" s="13"/>
    </row>
    <row r="228" customFormat="false" ht="15" hidden="false" customHeight="false" outlineLevel="0" collapsed="false">
      <c r="A228" s="12" t="str">
        <f aca="false">IF(B228&lt;&gt;"","CS-"&amp;TEXT(225,"000"),"")</f>
        <v/>
      </c>
      <c r="B228" s="13"/>
      <c r="C228" s="13"/>
      <c r="D228" s="13"/>
      <c r="E228" s="13"/>
      <c r="F228" s="13"/>
      <c r="G228" s="13"/>
      <c r="H228" s="13"/>
      <c r="I228" s="14"/>
      <c r="J228" s="13"/>
    </row>
    <row r="229" customFormat="false" ht="15" hidden="false" customHeight="false" outlineLevel="0" collapsed="false">
      <c r="A229" s="12" t="str">
        <f aca="false">IF(B229&lt;&gt;"","CS-"&amp;TEXT(226,"000"),"")</f>
        <v/>
      </c>
      <c r="B229" s="13"/>
      <c r="C229" s="13"/>
      <c r="D229" s="13"/>
      <c r="E229" s="13"/>
      <c r="F229" s="13"/>
      <c r="G229" s="13"/>
      <c r="H229" s="13"/>
      <c r="I229" s="14"/>
      <c r="J229" s="13"/>
    </row>
    <row r="230" customFormat="false" ht="15" hidden="false" customHeight="false" outlineLevel="0" collapsed="false">
      <c r="A230" s="12" t="str">
        <f aca="false">IF(B230&lt;&gt;"","CS-"&amp;TEXT(227,"000"),"")</f>
        <v/>
      </c>
      <c r="B230" s="13"/>
      <c r="C230" s="13"/>
      <c r="D230" s="13"/>
      <c r="E230" s="13"/>
      <c r="F230" s="13"/>
      <c r="G230" s="13"/>
      <c r="H230" s="13"/>
      <c r="I230" s="14"/>
      <c r="J230" s="13"/>
    </row>
    <row r="231" customFormat="false" ht="15" hidden="false" customHeight="false" outlineLevel="0" collapsed="false">
      <c r="A231" s="12" t="str">
        <f aca="false">IF(B231&lt;&gt;"","CS-"&amp;TEXT(228,"000"),"")</f>
        <v/>
      </c>
      <c r="B231" s="13"/>
      <c r="C231" s="13"/>
      <c r="D231" s="13"/>
      <c r="E231" s="13"/>
      <c r="F231" s="13"/>
      <c r="G231" s="13"/>
      <c r="H231" s="13"/>
      <c r="I231" s="14"/>
      <c r="J231" s="13"/>
    </row>
    <row r="232" customFormat="false" ht="15" hidden="false" customHeight="false" outlineLevel="0" collapsed="false">
      <c r="A232" s="12" t="str">
        <f aca="false">IF(B232&lt;&gt;"","CS-"&amp;TEXT(229,"000"),"")</f>
        <v/>
      </c>
      <c r="B232" s="13"/>
      <c r="C232" s="13"/>
      <c r="D232" s="13"/>
      <c r="E232" s="13"/>
      <c r="F232" s="13"/>
      <c r="G232" s="13"/>
      <c r="H232" s="13"/>
      <c r="I232" s="14"/>
      <c r="J232" s="13"/>
    </row>
    <row r="233" customFormat="false" ht="15" hidden="false" customHeight="false" outlineLevel="0" collapsed="false">
      <c r="A233" s="12" t="str">
        <f aca="false">IF(B233&lt;&gt;"","CS-"&amp;TEXT(230,"000"),"")</f>
        <v/>
      </c>
      <c r="B233" s="13"/>
      <c r="C233" s="13"/>
      <c r="D233" s="13"/>
      <c r="E233" s="13"/>
      <c r="F233" s="13"/>
      <c r="G233" s="13"/>
      <c r="H233" s="13"/>
      <c r="I233" s="14"/>
      <c r="J233" s="13"/>
    </row>
    <row r="234" customFormat="false" ht="15" hidden="false" customHeight="false" outlineLevel="0" collapsed="false">
      <c r="A234" s="12" t="str">
        <f aca="false">IF(B234&lt;&gt;"","CS-"&amp;TEXT(231,"000"),"")</f>
        <v/>
      </c>
      <c r="B234" s="13"/>
      <c r="C234" s="13"/>
      <c r="D234" s="13"/>
      <c r="E234" s="13"/>
      <c r="F234" s="13"/>
      <c r="G234" s="13"/>
      <c r="H234" s="13"/>
      <c r="I234" s="14"/>
      <c r="J234" s="13"/>
    </row>
    <row r="235" customFormat="false" ht="15" hidden="false" customHeight="false" outlineLevel="0" collapsed="false">
      <c r="A235" s="12" t="str">
        <f aca="false">IF(B235&lt;&gt;"","CS-"&amp;TEXT(232,"000"),"")</f>
        <v/>
      </c>
      <c r="B235" s="13"/>
      <c r="C235" s="13"/>
      <c r="D235" s="13"/>
      <c r="E235" s="13"/>
      <c r="F235" s="13"/>
      <c r="G235" s="13"/>
      <c r="H235" s="13"/>
      <c r="I235" s="14"/>
      <c r="J235" s="13"/>
    </row>
    <row r="236" customFormat="false" ht="15" hidden="false" customHeight="false" outlineLevel="0" collapsed="false">
      <c r="A236" s="12" t="str">
        <f aca="false">IF(B236&lt;&gt;"","CS-"&amp;TEXT(233,"000"),"")</f>
        <v/>
      </c>
      <c r="B236" s="13"/>
      <c r="C236" s="13"/>
      <c r="D236" s="13"/>
      <c r="E236" s="13"/>
      <c r="F236" s="13"/>
      <c r="G236" s="13"/>
      <c r="H236" s="13"/>
      <c r="I236" s="14"/>
      <c r="J236" s="13"/>
    </row>
    <row r="237" customFormat="false" ht="15" hidden="false" customHeight="false" outlineLevel="0" collapsed="false">
      <c r="A237" s="12" t="str">
        <f aca="false">IF(B237&lt;&gt;"","CS-"&amp;TEXT(234,"000"),"")</f>
        <v/>
      </c>
      <c r="B237" s="13"/>
      <c r="C237" s="13"/>
      <c r="D237" s="13"/>
      <c r="E237" s="13"/>
      <c r="F237" s="13"/>
      <c r="G237" s="13"/>
      <c r="H237" s="13"/>
      <c r="I237" s="14"/>
      <c r="J237" s="13"/>
    </row>
    <row r="238" customFormat="false" ht="15" hidden="false" customHeight="false" outlineLevel="0" collapsed="false">
      <c r="A238" s="12" t="str">
        <f aca="false">IF(B238&lt;&gt;"","CS-"&amp;TEXT(235,"000"),"")</f>
        <v/>
      </c>
      <c r="B238" s="13"/>
      <c r="C238" s="13"/>
      <c r="D238" s="13"/>
      <c r="E238" s="13"/>
      <c r="F238" s="13"/>
      <c r="G238" s="13"/>
      <c r="H238" s="13"/>
      <c r="I238" s="14"/>
      <c r="J238" s="13"/>
    </row>
    <row r="239" customFormat="false" ht="15" hidden="false" customHeight="false" outlineLevel="0" collapsed="false">
      <c r="A239" s="12" t="str">
        <f aca="false">IF(B239&lt;&gt;"","CS-"&amp;TEXT(236,"000"),"")</f>
        <v/>
      </c>
      <c r="B239" s="13"/>
      <c r="C239" s="13"/>
      <c r="D239" s="13"/>
      <c r="E239" s="13"/>
      <c r="F239" s="13"/>
      <c r="G239" s="13"/>
      <c r="H239" s="13"/>
      <c r="I239" s="14"/>
      <c r="J239" s="13"/>
    </row>
    <row r="240" customFormat="false" ht="15" hidden="false" customHeight="false" outlineLevel="0" collapsed="false">
      <c r="A240" s="12" t="str">
        <f aca="false">IF(B240&lt;&gt;"","CS-"&amp;TEXT(237,"000"),"")</f>
        <v/>
      </c>
      <c r="B240" s="13"/>
      <c r="C240" s="13"/>
      <c r="D240" s="13"/>
      <c r="E240" s="13"/>
      <c r="F240" s="13"/>
      <c r="G240" s="13"/>
      <c r="H240" s="13"/>
      <c r="I240" s="14"/>
      <c r="J240" s="13"/>
    </row>
    <row r="241" customFormat="false" ht="15" hidden="false" customHeight="false" outlineLevel="0" collapsed="false">
      <c r="A241" s="12" t="str">
        <f aca="false">IF(B241&lt;&gt;"","CS-"&amp;TEXT(238,"000"),"")</f>
        <v/>
      </c>
      <c r="B241" s="13"/>
      <c r="C241" s="13"/>
      <c r="D241" s="13"/>
      <c r="E241" s="13"/>
      <c r="F241" s="13"/>
      <c r="G241" s="13"/>
      <c r="H241" s="13"/>
      <c r="I241" s="14"/>
      <c r="J241" s="13"/>
    </row>
    <row r="242" customFormat="false" ht="15" hidden="false" customHeight="false" outlineLevel="0" collapsed="false">
      <c r="A242" s="12" t="str">
        <f aca="false">IF(B242&lt;&gt;"","CS-"&amp;TEXT(239,"000"),"")</f>
        <v/>
      </c>
      <c r="B242" s="13"/>
      <c r="C242" s="13"/>
      <c r="D242" s="13"/>
      <c r="E242" s="13"/>
      <c r="F242" s="13"/>
      <c r="G242" s="13"/>
      <c r="H242" s="13"/>
      <c r="I242" s="14"/>
      <c r="J242" s="13"/>
    </row>
    <row r="243" customFormat="false" ht="15" hidden="false" customHeight="false" outlineLevel="0" collapsed="false">
      <c r="A243" s="12" t="str">
        <f aca="false">IF(B243&lt;&gt;"","CS-"&amp;TEXT(240,"000"),"")</f>
        <v/>
      </c>
      <c r="B243" s="13"/>
      <c r="C243" s="13"/>
      <c r="D243" s="13"/>
      <c r="E243" s="13"/>
      <c r="F243" s="13"/>
      <c r="G243" s="13"/>
      <c r="H243" s="13"/>
      <c r="I243" s="14"/>
      <c r="J243" s="13"/>
    </row>
    <row r="244" customFormat="false" ht="15" hidden="false" customHeight="false" outlineLevel="0" collapsed="false">
      <c r="A244" s="12" t="str">
        <f aca="false">IF(B244&lt;&gt;"","CS-"&amp;TEXT(241,"000"),"")</f>
        <v/>
      </c>
      <c r="B244" s="13"/>
      <c r="C244" s="13"/>
      <c r="D244" s="13"/>
      <c r="E244" s="13"/>
      <c r="F244" s="13"/>
      <c r="G244" s="13"/>
      <c r="H244" s="13"/>
      <c r="I244" s="14"/>
      <c r="J244" s="13"/>
    </row>
    <row r="245" customFormat="false" ht="15" hidden="false" customHeight="false" outlineLevel="0" collapsed="false">
      <c r="A245" s="12" t="str">
        <f aca="false">IF(B245&lt;&gt;"","CS-"&amp;TEXT(242,"000"),"")</f>
        <v/>
      </c>
      <c r="B245" s="13"/>
      <c r="C245" s="13"/>
      <c r="D245" s="13"/>
      <c r="E245" s="13"/>
      <c r="F245" s="13"/>
      <c r="G245" s="13"/>
      <c r="H245" s="13"/>
      <c r="I245" s="14"/>
      <c r="J245" s="13"/>
    </row>
    <row r="246" customFormat="false" ht="15" hidden="false" customHeight="false" outlineLevel="0" collapsed="false">
      <c r="A246" s="12" t="str">
        <f aca="false">IF(B246&lt;&gt;"","CS-"&amp;TEXT(243,"000"),"")</f>
        <v/>
      </c>
      <c r="B246" s="13"/>
      <c r="C246" s="13"/>
      <c r="D246" s="13"/>
      <c r="E246" s="13"/>
      <c r="F246" s="13"/>
      <c r="G246" s="13"/>
      <c r="H246" s="13"/>
      <c r="I246" s="14"/>
      <c r="J246" s="13"/>
    </row>
    <row r="247" customFormat="false" ht="15" hidden="false" customHeight="false" outlineLevel="0" collapsed="false">
      <c r="A247" s="12" t="str">
        <f aca="false">IF(B247&lt;&gt;"","CS-"&amp;TEXT(244,"000"),"")</f>
        <v/>
      </c>
      <c r="B247" s="13"/>
      <c r="C247" s="13"/>
      <c r="D247" s="13"/>
      <c r="E247" s="13"/>
      <c r="F247" s="13"/>
      <c r="G247" s="13"/>
      <c r="H247" s="13"/>
      <c r="I247" s="14"/>
      <c r="J247" s="13"/>
    </row>
    <row r="248" customFormat="false" ht="15" hidden="false" customHeight="false" outlineLevel="0" collapsed="false">
      <c r="A248" s="12" t="str">
        <f aca="false">IF(B248&lt;&gt;"","CS-"&amp;TEXT(245,"000"),"")</f>
        <v/>
      </c>
      <c r="B248" s="13"/>
      <c r="C248" s="13"/>
      <c r="D248" s="13"/>
      <c r="E248" s="13"/>
      <c r="F248" s="13"/>
      <c r="G248" s="13"/>
      <c r="H248" s="13"/>
      <c r="I248" s="14"/>
      <c r="J248" s="13"/>
    </row>
    <row r="249" customFormat="false" ht="15" hidden="false" customHeight="false" outlineLevel="0" collapsed="false">
      <c r="A249" s="12" t="str">
        <f aca="false">IF(B249&lt;&gt;"","CS-"&amp;TEXT(246,"000"),"")</f>
        <v/>
      </c>
      <c r="B249" s="13"/>
      <c r="C249" s="13"/>
      <c r="D249" s="13"/>
      <c r="E249" s="13"/>
      <c r="F249" s="13"/>
      <c r="G249" s="13"/>
      <c r="H249" s="13"/>
      <c r="I249" s="14"/>
      <c r="J249" s="13"/>
    </row>
    <row r="250" customFormat="false" ht="15" hidden="false" customHeight="false" outlineLevel="0" collapsed="false">
      <c r="A250" s="12" t="str">
        <f aca="false">IF(B250&lt;&gt;"","CS-"&amp;TEXT(247,"000"),"")</f>
        <v/>
      </c>
      <c r="B250" s="13"/>
      <c r="C250" s="13"/>
      <c r="D250" s="13"/>
      <c r="E250" s="13"/>
      <c r="F250" s="13"/>
      <c r="G250" s="13"/>
      <c r="H250" s="13"/>
      <c r="I250" s="14"/>
      <c r="J250" s="13"/>
    </row>
    <row r="251" customFormat="false" ht="15" hidden="false" customHeight="false" outlineLevel="0" collapsed="false">
      <c r="A251" s="12" t="str">
        <f aca="false">IF(B251&lt;&gt;"","CS-"&amp;TEXT(248,"000"),"")</f>
        <v/>
      </c>
      <c r="B251" s="13"/>
      <c r="C251" s="13"/>
      <c r="D251" s="13"/>
      <c r="E251" s="13"/>
      <c r="F251" s="13"/>
      <c r="G251" s="13"/>
      <c r="H251" s="13"/>
      <c r="I251" s="14"/>
      <c r="J251" s="13"/>
    </row>
    <row r="252" customFormat="false" ht="15" hidden="false" customHeight="false" outlineLevel="0" collapsed="false">
      <c r="A252" s="12" t="str">
        <f aca="false">IF(B252&lt;&gt;"","CS-"&amp;TEXT(249,"000"),"")</f>
        <v/>
      </c>
      <c r="B252" s="13"/>
      <c r="C252" s="13"/>
      <c r="D252" s="13"/>
      <c r="E252" s="13"/>
      <c r="F252" s="13"/>
      <c r="G252" s="13"/>
      <c r="H252" s="13"/>
      <c r="I252" s="14"/>
      <c r="J252" s="13"/>
    </row>
    <row r="253" customFormat="false" ht="15" hidden="false" customHeight="false" outlineLevel="0" collapsed="false">
      <c r="A253" s="12" t="str">
        <f aca="false">IF(B253&lt;&gt;"","CS-"&amp;TEXT(250,"000"),"")</f>
        <v/>
      </c>
      <c r="B253" s="13"/>
      <c r="C253" s="13"/>
      <c r="D253" s="13"/>
      <c r="E253" s="13"/>
      <c r="F253" s="13"/>
      <c r="G253" s="13"/>
      <c r="H253" s="13"/>
      <c r="I253" s="14"/>
      <c r="J253" s="13"/>
    </row>
    <row r="254" customFormat="false" ht="15" hidden="false" customHeight="false" outlineLevel="0" collapsed="false">
      <c r="A254" s="12" t="str">
        <f aca="false">IF(B254&lt;&gt;"","CS-"&amp;TEXT(251,"000"),"")</f>
        <v/>
      </c>
      <c r="B254" s="13"/>
      <c r="C254" s="13"/>
      <c r="D254" s="13"/>
      <c r="E254" s="13"/>
      <c r="F254" s="13"/>
      <c r="G254" s="13"/>
      <c r="H254" s="13"/>
      <c r="I254" s="14"/>
      <c r="J254" s="13"/>
    </row>
    <row r="255" customFormat="false" ht="15" hidden="false" customHeight="false" outlineLevel="0" collapsed="false">
      <c r="A255" s="12" t="str">
        <f aca="false">IF(B255&lt;&gt;"","CS-"&amp;TEXT(252,"000"),"")</f>
        <v/>
      </c>
      <c r="B255" s="13"/>
      <c r="C255" s="13"/>
      <c r="D255" s="13"/>
      <c r="E255" s="13"/>
      <c r="F255" s="13"/>
      <c r="G255" s="13"/>
      <c r="H255" s="13"/>
      <c r="I255" s="14"/>
      <c r="J255" s="13"/>
    </row>
    <row r="256" customFormat="false" ht="15" hidden="false" customHeight="false" outlineLevel="0" collapsed="false">
      <c r="A256" s="12" t="str">
        <f aca="false">IF(B256&lt;&gt;"","CS-"&amp;TEXT(253,"000"),"")</f>
        <v/>
      </c>
      <c r="B256" s="13"/>
      <c r="C256" s="13"/>
      <c r="D256" s="13"/>
      <c r="E256" s="13"/>
      <c r="F256" s="13"/>
      <c r="G256" s="13"/>
      <c r="H256" s="13"/>
      <c r="I256" s="14"/>
      <c r="J256" s="13"/>
    </row>
    <row r="257" customFormat="false" ht="15" hidden="false" customHeight="false" outlineLevel="0" collapsed="false">
      <c r="A257" s="12" t="str">
        <f aca="false">IF(B257&lt;&gt;"","CS-"&amp;TEXT(254,"000"),"")</f>
        <v/>
      </c>
      <c r="B257" s="13"/>
      <c r="C257" s="13"/>
      <c r="D257" s="13"/>
      <c r="E257" s="13"/>
      <c r="F257" s="13"/>
      <c r="G257" s="13"/>
      <c r="H257" s="13"/>
      <c r="I257" s="14"/>
      <c r="J257" s="13"/>
    </row>
    <row r="258" customFormat="false" ht="15" hidden="false" customHeight="false" outlineLevel="0" collapsed="false">
      <c r="A258" s="12" t="str">
        <f aca="false">IF(B258&lt;&gt;"","CS-"&amp;TEXT(255,"000"),"")</f>
        <v/>
      </c>
      <c r="B258" s="13"/>
      <c r="C258" s="13"/>
      <c r="D258" s="13"/>
      <c r="E258" s="13"/>
      <c r="F258" s="13"/>
      <c r="G258" s="13"/>
      <c r="H258" s="13"/>
      <c r="I258" s="14"/>
      <c r="J258" s="13"/>
    </row>
    <row r="259" customFormat="false" ht="15" hidden="false" customHeight="false" outlineLevel="0" collapsed="false">
      <c r="A259" s="12" t="str">
        <f aca="false">IF(B259&lt;&gt;"","CS-"&amp;TEXT(256,"000"),"")</f>
        <v/>
      </c>
      <c r="B259" s="13"/>
      <c r="C259" s="13"/>
      <c r="D259" s="13"/>
      <c r="E259" s="13"/>
      <c r="F259" s="13"/>
      <c r="G259" s="13"/>
      <c r="H259" s="13"/>
      <c r="I259" s="14"/>
      <c r="J259" s="13"/>
    </row>
    <row r="260" customFormat="false" ht="15" hidden="false" customHeight="false" outlineLevel="0" collapsed="false">
      <c r="A260" s="12" t="str">
        <f aca="false">IF(B260&lt;&gt;"","CS-"&amp;TEXT(257,"000"),"")</f>
        <v/>
      </c>
      <c r="B260" s="13"/>
      <c r="C260" s="13"/>
      <c r="D260" s="13"/>
      <c r="E260" s="13"/>
      <c r="F260" s="13"/>
      <c r="G260" s="13"/>
      <c r="H260" s="13"/>
      <c r="I260" s="14"/>
      <c r="J260" s="13"/>
    </row>
    <row r="261" customFormat="false" ht="15" hidden="false" customHeight="false" outlineLevel="0" collapsed="false">
      <c r="A261" s="12" t="str">
        <f aca="false">IF(B261&lt;&gt;"","CS-"&amp;TEXT(258,"000"),"")</f>
        <v/>
      </c>
      <c r="B261" s="13"/>
      <c r="C261" s="13"/>
      <c r="D261" s="13"/>
      <c r="E261" s="13"/>
      <c r="F261" s="13"/>
      <c r="G261" s="13"/>
      <c r="H261" s="13"/>
      <c r="I261" s="14"/>
      <c r="J261" s="13"/>
    </row>
    <row r="262" customFormat="false" ht="15" hidden="false" customHeight="false" outlineLevel="0" collapsed="false">
      <c r="A262" s="12" t="str">
        <f aca="false">IF(B262&lt;&gt;"","CS-"&amp;TEXT(259,"000"),"")</f>
        <v/>
      </c>
      <c r="B262" s="13"/>
      <c r="C262" s="13"/>
      <c r="D262" s="13"/>
      <c r="E262" s="13"/>
      <c r="F262" s="13"/>
      <c r="G262" s="13"/>
      <c r="H262" s="13"/>
      <c r="I262" s="14"/>
      <c r="J262" s="13"/>
    </row>
    <row r="263" customFormat="false" ht="15" hidden="false" customHeight="false" outlineLevel="0" collapsed="false">
      <c r="A263" s="12" t="str">
        <f aca="false">IF(B263&lt;&gt;"","CS-"&amp;TEXT(260,"000"),"")</f>
        <v/>
      </c>
      <c r="B263" s="13"/>
      <c r="C263" s="13"/>
      <c r="D263" s="13"/>
      <c r="E263" s="13"/>
      <c r="F263" s="13"/>
      <c r="G263" s="13"/>
      <c r="H263" s="13"/>
      <c r="I263" s="14"/>
      <c r="J263" s="13"/>
    </row>
    <row r="264" customFormat="false" ht="15" hidden="false" customHeight="false" outlineLevel="0" collapsed="false">
      <c r="A264" s="12" t="str">
        <f aca="false">IF(B264&lt;&gt;"","CS-"&amp;TEXT(261,"000"),"")</f>
        <v/>
      </c>
      <c r="B264" s="13"/>
      <c r="C264" s="13"/>
      <c r="D264" s="13"/>
      <c r="E264" s="13"/>
      <c r="F264" s="13"/>
      <c r="G264" s="13"/>
      <c r="H264" s="13"/>
      <c r="I264" s="14"/>
      <c r="J264" s="13"/>
    </row>
    <row r="265" customFormat="false" ht="15" hidden="false" customHeight="false" outlineLevel="0" collapsed="false">
      <c r="A265" s="12" t="str">
        <f aca="false">IF(B265&lt;&gt;"","CS-"&amp;TEXT(262,"000"),"")</f>
        <v/>
      </c>
      <c r="B265" s="13"/>
      <c r="C265" s="13"/>
      <c r="D265" s="13"/>
      <c r="E265" s="13"/>
      <c r="F265" s="13"/>
      <c r="G265" s="13"/>
      <c r="H265" s="13"/>
      <c r="I265" s="14"/>
      <c r="J265" s="13"/>
    </row>
    <row r="266" customFormat="false" ht="15" hidden="false" customHeight="false" outlineLevel="0" collapsed="false">
      <c r="A266" s="12" t="str">
        <f aca="false">IF(B266&lt;&gt;"","CS-"&amp;TEXT(263,"000"),"")</f>
        <v/>
      </c>
      <c r="B266" s="13"/>
      <c r="C266" s="13"/>
      <c r="D266" s="13"/>
      <c r="E266" s="13"/>
      <c r="F266" s="13"/>
      <c r="G266" s="13"/>
      <c r="H266" s="13"/>
      <c r="I266" s="14"/>
      <c r="J266" s="13"/>
    </row>
    <row r="267" customFormat="false" ht="15" hidden="false" customHeight="false" outlineLevel="0" collapsed="false">
      <c r="A267" s="12" t="str">
        <f aca="false">IF(B267&lt;&gt;"","CS-"&amp;TEXT(264,"000"),"")</f>
        <v/>
      </c>
      <c r="B267" s="13"/>
      <c r="C267" s="13"/>
      <c r="D267" s="13"/>
      <c r="E267" s="13"/>
      <c r="F267" s="13"/>
      <c r="G267" s="13"/>
      <c r="H267" s="13"/>
      <c r="I267" s="14"/>
      <c r="J267" s="13"/>
    </row>
    <row r="268" customFormat="false" ht="15" hidden="false" customHeight="false" outlineLevel="0" collapsed="false">
      <c r="A268" s="12" t="str">
        <f aca="false">IF(B268&lt;&gt;"","CS-"&amp;TEXT(265,"000"),"")</f>
        <v/>
      </c>
      <c r="B268" s="13"/>
      <c r="C268" s="13"/>
      <c r="D268" s="13"/>
      <c r="E268" s="13"/>
      <c r="F268" s="13"/>
      <c r="G268" s="13"/>
      <c r="H268" s="13"/>
      <c r="I268" s="14"/>
      <c r="J268" s="13"/>
    </row>
    <row r="269" customFormat="false" ht="15" hidden="false" customHeight="false" outlineLevel="0" collapsed="false">
      <c r="A269" s="12" t="str">
        <f aca="false">IF(B269&lt;&gt;"","CS-"&amp;TEXT(266,"000"),"")</f>
        <v/>
      </c>
      <c r="B269" s="13"/>
      <c r="C269" s="13"/>
      <c r="D269" s="13"/>
      <c r="E269" s="13"/>
      <c r="F269" s="13"/>
      <c r="G269" s="13"/>
      <c r="H269" s="13"/>
      <c r="I269" s="14"/>
      <c r="J269" s="13"/>
    </row>
    <row r="270" customFormat="false" ht="15" hidden="false" customHeight="false" outlineLevel="0" collapsed="false">
      <c r="A270" s="12" t="str">
        <f aca="false">IF(B270&lt;&gt;"","CS-"&amp;TEXT(267,"000"),"")</f>
        <v/>
      </c>
      <c r="B270" s="13"/>
      <c r="C270" s="13"/>
      <c r="D270" s="13"/>
      <c r="E270" s="13"/>
      <c r="F270" s="13"/>
      <c r="G270" s="13"/>
      <c r="H270" s="13"/>
      <c r="I270" s="14"/>
      <c r="J270" s="13"/>
    </row>
    <row r="271" customFormat="false" ht="15" hidden="false" customHeight="false" outlineLevel="0" collapsed="false">
      <c r="A271" s="12" t="str">
        <f aca="false">IF(B271&lt;&gt;"","CS-"&amp;TEXT(268,"000"),"")</f>
        <v/>
      </c>
      <c r="B271" s="13"/>
      <c r="C271" s="13"/>
      <c r="D271" s="13"/>
      <c r="E271" s="13"/>
      <c r="F271" s="13"/>
      <c r="G271" s="13"/>
      <c r="H271" s="13"/>
      <c r="I271" s="14"/>
      <c r="J271" s="13"/>
    </row>
    <row r="272" customFormat="false" ht="15" hidden="false" customHeight="false" outlineLevel="0" collapsed="false">
      <c r="A272" s="12" t="str">
        <f aca="false">IF(B272&lt;&gt;"","CS-"&amp;TEXT(269,"000"),"")</f>
        <v/>
      </c>
      <c r="B272" s="13"/>
      <c r="C272" s="13"/>
      <c r="D272" s="13"/>
      <c r="E272" s="13"/>
      <c r="F272" s="13"/>
      <c r="G272" s="13"/>
      <c r="H272" s="13"/>
      <c r="I272" s="14"/>
      <c r="J272" s="13"/>
    </row>
    <row r="273" customFormat="false" ht="15" hidden="false" customHeight="false" outlineLevel="0" collapsed="false">
      <c r="A273" s="12" t="str">
        <f aca="false">IF(B273&lt;&gt;"","CS-"&amp;TEXT(270,"000"),"")</f>
        <v/>
      </c>
      <c r="B273" s="13"/>
      <c r="C273" s="13"/>
      <c r="D273" s="13"/>
      <c r="E273" s="13"/>
      <c r="F273" s="13"/>
      <c r="G273" s="13"/>
      <c r="H273" s="13"/>
      <c r="I273" s="14"/>
      <c r="J273" s="13"/>
    </row>
    <row r="274" customFormat="false" ht="15" hidden="false" customHeight="false" outlineLevel="0" collapsed="false">
      <c r="A274" s="12" t="str">
        <f aca="false">IF(B274&lt;&gt;"","CS-"&amp;TEXT(271,"000"),"")</f>
        <v/>
      </c>
      <c r="B274" s="13"/>
      <c r="C274" s="13"/>
      <c r="D274" s="13"/>
      <c r="E274" s="13"/>
      <c r="F274" s="13"/>
      <c r="G274" s="13"/>
      <c r="H274" s="13"/>
      <c r="I274" s="14"/>
      <c r="J274" s="13"/>
    </row>
    <row r="275" customFormat="false" ht="15" hidden="false" customHeight="false" outlineLevel="0" collapsed="false">
      <c r="A275" s="12" t="str">
        <f aca="false">IF(B275&lt;&gt;"","CS-"&amp;TEXT(272,"000"),"")</f>
        <v/>
      </c>
      <c r="B275" s="13"/>
      <c r="C275" s="13"/>
      <c r="D275" s="13"/>
      <c r="E275" s="13"/>
      <c r="F275" s="13"/>
      <c r="G275" s="13"/>
      <c r="H275" s="13"/>
      <c r="I275" s="14"/>
      <c r="J275" s="13"/>
    </row>
    <row r="276" customFormat="false" ht="15" hidden="false" customHeight="false" outlineLevel="0" collapsed="false">
      <c r="A276" s="12" t="str">
        <f aca="false">IF(B276&lt;&gt;"","CS-"&amp;TEXT(273,"000"),"")</f>
        <v/>
      </c>
      <c r="B276" s="13"/>
      <c r="C276" s="13"/>
      <c r="D276" s="13"/>
      <c r="E276" s="13"/>
      <c r="F276" s="13"/>
      <c r="G276" s="13"/>
      <c r="H276" s="13"/>
      <c r="I276" s="14"/>
      <c r="J276" s="13"/>
    </row>
    <row r="277" customFormat="false" ht="15" hidden="false" customHeight="false" outlineLevel="0" collapsed="false">
      <c r="A277" s="12" t="str">
        <f aca="false">IF(B277&lt;&gt;"","CS-"&amp;TEXT(274,"000"),"")</f>
        <v/>
      </c>
      <c r="B277" s="13"/>
      <c r="C277" s="13"/>
      <c r="D277" s="13"/>
      <c r="E277" s="13"/>
      <c r="F277" s="13"/>
      <c r="G277" s="13"/>
      <c r="H277" s="13"/>
      <c r="I277" s="14"/>
      <c r="J277" s="13"/>
    </row>
    <row r="278" customFormat="false" ht="15" hidden="false" customHeight="false" outlineLevel="0" collapsed="false">
      <c r="A278" s="12" t="str">
        <f aca="false">IF(B278&lt;&gt;"","CS-"&amp;TEXT(275,"000"),"")</f>
        <v/>
      </c>
      <c r="B278" s="13"/>
      <c r="C278" s="13"/>
      <c r="D278" s="13"/>
      <c r="E278" s="13"/>
      <c r="F278" s="13"/>
      <c r="G278" s="13"/>
      <c r="H278" s="13"/>
      <c r="I278" s="14"/>
      <c r="J278" s="13"/>
    </row>
    <row r="279" customFormat="false" ht="15" hidden="false" customHeight="false" outlineLevel="0" collapsed="false">
      <c r="A279" s="12" t="str">
        <f aca="false">IF(B279&lt;&gt;"","CS-"&amp;TEXT(276,"000"),"")</f>
        <v/>
      </c>
      <c r="B279" s="13"/>
      <c r="C279" s="13"/>
      <c r="D279" s="13"/>
      <c r="E279" s="13"/>
      <c r="F279" s="13"/>
      <c r="G279" s="13"/>
      <c r="H279" s="13"/>
      <c r="I279" s="14"/>
      <c r="J279" s="13"/>
    </row>
    <row r="280" customFormat="false" ht="15" hidden="false" customHeight="false" outlineLevel="0" collapsed="false">
      <c r="A280" s="12" t="str">
        <f aca="false">IF(B280&lt;&gt;"","CS-"&amp;TEXT(277,"000"),"")</f>
        <v/>
      </c>
      <c r="B280" s="13"/>
      <c r="C280" s="13"/>
      <c r="D280" s="13"/>
      <c r="E280" s="13"/>
      <c r="F280" s="13"/>
      <c r="G280" s="13"/>
      <c r="H280" s="13"/>
      <c r="I280" s="14"/>
      <c r="J280" s="13"/>
    </row>
    <row r="281" customFormat="false" ht="15" hidden="false" customHeight="false" outlineLevel="0" collapsed="false">
      <c r="A281" s="12" t="str">
        <f aca="false">IF(B281&lt;&gt;"","CS-"&amp;TEXT(278,"000"),"")</f>
        <v/>
      </c>
      <c r="B281" s="13"/>
      <c r="C281" s="13"/>
      <c r="D281" s="13"/>
      <c r="E281" s="13"/>
      <c r="F281" s="13"/>
      <c r="G281" s="13"/>
      <c r="H281" s="13"/>
      <c r="I281" s="14"/>
      <c r="J281" s="13"/>
    </row>
    <row r="282" customFormat="false" ht="15" hidden="false" customHeight="false" outlineLevel="0" collapsed="false">
      <c r="A282" s="12" t="str">
        <f aca="false">IF(B282&lt;&gt;"","CS-"&amp;TEXT(279,"000"),"")</f>
        <v/>
      </c>
      <c r="B282" s="13"/>
      <c r="C282" s="13"/>
      <c r="D282" s="13"/>
      <c r="E282" s="13"/>
      <c r="F282" s="13"/>
      <c r="G282" s="13"/>
      <c r="H282" s="13"/>
      <c r="I282" s="14"/>
      <c r="J282" s="13"/>
    </row>
    <row r="283" customFormat="false" ht="15" hidden="false" customHeight="false" outlineLevel="0" collapsed="false">
      <c r="A283" s="12" t="str">
        <f aca="false">IF(B283&lt;&gt;"","CS-"&amp;TEXT(280,"000"),"")</f>
        <v/>
      </c>
      <c r="B283" s="13"/>
      <c r="C283" s="13"/>
      <c r="D283" s="13"/>
      <c r="E283" s="13"/>
      <c r="F283" s="13"/>
      <c r="G283" s="13"/>
      <c r="H283" s="13"/>
      <c r="I283" s="14"/>
      <c r="J283" s="13"/>
    </row>
    <row r="284" customFormat="false" ht="15" hidden="false" customHeight="false" outlineLevel="0" collapsed="false">
      <c r="A284" s="12" t="str">
        <f aca="false">IF(B284&lt;&gt;"","CS-"&amp;TEXT(281,"000"),"")</f>
        <v/>
      </c>
      <c r="B284" s="13"/>
      <c r="C284" s="13"/>
      <c r="D284" s="13"/>
      <c r="E284" s="13"/>
      <c r="F284" s="13"/>
      <c r="G284" s="13"/>
      <c r="H284" s="13"/>
      <c r="I284" s="14"/>
      <c r="J284" s="13"/>
    </row>
    <row r="285" customFormat="false" ht="15" hidden="false" customHeight="false" outlineLevel="0" collapsed="false">
      <c r="A285" s="12" t="str">
        <f aca="false">IF(B285&lt;&gt;"","CS-"&amp;TEXT(282,"000"),"")</f>
        <v/>
      </c>
      <c r="B285" s="13"/>
      <c r="C285" s="13"/>
      <c r="D285" s="13"/>
      <c r="E285" s="13"/>
      <c r="F285" s="13"/>
      <c r="G285" s="13"/>
      <c r="H285" s="13"/>
      <c r="I285" s="14"/>
      <c r="J285" s="13"/>
    </row>
    <row r="286" customFormat="false" ht="15" hidden="false" customHeight="false" outlineLevel="0" collapsed="false">
      <c r="A286" s="12" t="str">
        <f aca="false">IF(B286&lt;&gt;"","CS-"&amp;TEXT(283,"000"),"")</f>
        <v/>
      </c>
      <c r="B286" s="13"/>
      <c r="C286" s="13"/>
      <c r="D286" s="13"/>
      <c r="E286" s="13"/>
      <c r="F286" s="13"/>
      <c r="G286" s="13"/>
      <c r="H286" s="13"/>
      <c r="I286" s="14"/>
      <c r="J286" s="13"/>
    </row>
    <row r="287" customFormat="false" ht="15" hidden="false" customHeight="false" outlineLevel="0" collapsed="false">
      <c r="A287" s="12" t="str">
        <f aca="false">IF(B287&lt;&gt;"","CS-"&amp;TEXT(284,"000"),"")</f>
        <v/>
      </c>
      <c r="B287" s="13"/>
      <c r="C287" s="13"/>
      <c r="D287" s="13"/>
      <c r="E287" s="13"/>
      <c r="F287" s="13"/>
      <c r="G287" s="13"/>
      <c r="H287" s="13"/>
      <c r="I287" s="14"/>
      <c r="J287" s="13"/>
    </row>
    <row r="288" customFormat="false" ht="15" hidden="false" customHeight="false" outlineLevel="0" collapsed="false">
      <c r="A288" s="12" t="str">
        <f aca="false">IF(B288&lt;&gt;"","CS-"&amp;TEXT(285,"000"),"")</f>
        <v/>
      </c>
      <c r="B288" s="13"/>
      <c r="C288" s="13"/>
      <c r="D288" s="13"/>
      <c r="E288" s="13"/>
      <c r="F288" s="13"/>
      <c r="G288" s="13"/>
      <c r="H288" s="13"/>
      <c r="I288" s="14"/>
      <c r="J288" s="13"/>
    </row>
    <row r="289" customFormat="false" ht="15" hidden="false" customHeight="false" outlineLevel="0" collapsed="false">
      <c r="A289" s="12" t="str">
        <f aca="false">IF(B289&lt;&gt;"","CS-"&amp;TEXT(286,"000"),"")</f>
        <v/>
      </c>
      <c r="B289" s="13"/>
      <c r="C289" s="13"/>
      <c r="D289" s="13"/>
      <c r="E289" s="13"/>
      <c r="F289" s="13"/>
      <c r="G289" s="13"/>
      <c r="H289" s="13"/>
      <c r="I289" s="14"/>
      <c r="J289" s="13"/>
    </row>
    <row r="290" customFormat="false" ht="15" hidden="false" customHeight="false" outlineLevel="0" collapsed="false">
      <c r="A290" s="12" t="str">
        <f aca="false">IF(B290&lt;&gt;"","CS-"&amp;TEXT(287,"000"),"")</f>
        <v/>
      </c>
      <c r="B290" s="13"/>
      <c r="C290" s="13"/>
      <c r="D290" s="13"/>
      <c r="E290" s="13"/>
      <c r="F290" s="13"/>
      <c r="G290" s="13"/>
      <c r="H290" s="13"/>
      <c r="I290" s="14"/>
      <c r="J290" s="13"/>
    </row>
    <row r="291" customFormat="false" ht="15" hidden="false" customHeight="false" outlineLevel="0" collapsed="false">
      <c r="A291" s="12" t="str">
        <f aca="false">IF(B291&lt;&gt;"","CS-"&amp;TEXT(288,"000"),"")</f>
        <v/>
      </c>
      <c r="B291" s="13"/>
      <c r="C291" s="13"/>
      <c r="D291" s="13"/>
      <c r="E291" s="13"/>
      <c r="F291" s="13"/>
      <c r="G291" s="13"/>
      <c r="H291" s="13"/>
      <c r="I291" s="14"/>
      <c r="J291" s="13"/>
    </row>
    <row r="292" customFormat="false" ht="15" hidden="false" customHeight="false" outlineLevel="0" collapsed="false">
      <c r="A292" s="12" t="str">
        <f aca="false">IF(B292&lt;&gt;"","CS-"&amp;TEXT(289,"000"),"")</f>
        <v/>
      </c>
      <c r="B292" s="13"/>
      <c r="C292" s="13"/>
      <c r="D292" s="13"/>
      <c r="E292" s="13"/>
      <c r="F292" s="13"/>
      <c r="G292" s="13"/>
      <c r="H292" s="13"/>
      <c r="I292" s="14"/>
      <c r="J292" s="13"/>
    </row>
    <row r="293" customFormat="false" ht="15" hidden="false" customHeight="false" outlineLevel="0" collapsed="false">
      <c r="A293" s="12" t="str">
        <f aca="false">IF(B293&lt;&gt;"","CS-"&amp;TEXT(290,"000"),"")</f>
        <v/>
      </c>
      <c r="B293" s="13"/>
      <c r="C293" s="13"/>
      <c r="D293" s="13"/>
      <c r="E293" s="13"/>
      <c r="F293" s="13"/>
      <c r="G293" s="13"/>
      <c r="H293" s="13"/>
      <c r="I293" s="14"/>
      <c r="J293" s="13"/>
    </row>
    <row r="294" customFormat="false" ht="15" hidden="false" customHeight="false" outlineLevel="0" collapsed="false">
      <c r="A294" s="12" t="str">
        <f aca="false">IF(B294&lt;&gt;"","CS-"&amp;TEXT(291,"000"),"")</f>
        <v/>
      </c>
      <c r="B294" s="13"/>
      <c r="C294" s="13"/>
      <c r="D294" s="13"/>
      <c r="E294" s="13"/>
      <c r="F294" s="13"/>
      <c r="G294" s="13"/>
      <c r="H294" s="13"/>
      <c r="I294" s="14"/>
      <c r="J294" s="13"/>
    </row>
    <row r="295" customFormat="false" ht="15" hidden="false" customHeight="false" outlineLevel="0" collapsed="false">
      <c r="A295" s="12" t="str">
        <f aca="false">IF(B295&lt;&gt;"","CS-"&amp;TEXT(292,"000"),"")</f>
        <v/>
      </c>
      <c r="B295" s="13"/>
      <c r="C295" s="13"/>
      <c r="D295" s="13"/>
      <c r="E295" s="13"/>
      <c r="F295" s="13"/>
      <c r="G295" s="13"/>
      <c r="H295" s="13"/>
      <c r="I295" s="14"/>
      <c r="J295" s="13"/>
    </row>
    <row r="296" customFormat="false" ht="15" hidden="false" customHeight="false" outlineLevel="0" collapsed="false">
      <c r="A296" s="12" t="str">
        <f aca="false">IF(B296&lt;&gt;"","CS-"&amp;TEXT(293,"000"),"")</f>
        <v/>
      </c>
      <c r="B296" s="13"/>
      <c r="C296" s="13"/>
      <c r="D296" s="13"/>
      <c r="E296" s="13"/>
      <c r="F296" s="13"/>
      <c r="G296" s="13"/>
      <c r="H296" s="13"/>
      <c r="I296" s="14"/>
      <c r="J296" s="13"/>
    </row>
    <row r="297" customFormat="false" ht="15" hidden="false" customHeight="false" outlineLevel="0" collapsed="false">
      <c r="A297" s="12" t="str">
        <f aca="false">IF(B297&lt;&gt;"","CS-"&amp;TEXT(294,"000"),"")</f>
        <v/>
      </c>
      <c r="B297" s="13"/>
      <c r="C297" s="13"/>
      <c r="D297" s="13"/>
      <c r="E297" s="13"/>
      <c r="F297" s="13"/>
      <c r="G297" s="13"/>
      <c r="H297" s="13"/>
      <c r="I297" s="14"/>
      <c r="J297" s="13"/>
    </row>
    <row r="298" customFormat="false" ht="15" hidden="false" customHeight="false" outlineLevel="0" collapsed="false">
      <c r="A298" s="12" t="str">
        <f aca="false">IF(B298&lt;&gt;"","CS-"&amp;TEXT(295,"000"),"")</f>
        <v/>
      </c>
      <c r="B298" s="13"/>
      <c r="C298" s="13"/>
      <c r="D298" s="13"/>
      <c r="E298" s="13"/>
      <c r="F298" s="13"/>
      <c r="G298" s="13"/>
      <c r="H298" s="13"/>
      <c r="I298" s="14"/>
      <c r="J298" s="13"/>
    </row>
    <row r="299" customFormat="false" ht="15" hidden="false" customHeight="false" outlineLevel="0" collapsed="false">
      <c r="A299" s="12" t="str">
        <f aca="false">IF(B299&lt;&gt;"","CS-"&amp;TEXT(296,"000"),"")</f>
        <v/>
      </c>
      <c r="B299" s="13"/>
      <c r="C299" s="13"/>
      <c r="D299" s="13"/>
      <c r="E299" s="13"/>
      <c r="F299" s="13"/>
      <c r="G299" s="13"/>
      <c r="H299" s="13"/>
      <c r="I299" s="14"/>
      <c r="J299" s="13"/>
    </row>
    <row r="300" customFormat="false" ht="15" hidden="false" customHeight="false" outlineLevel="0" collapsed="false">
      <c r="A300" s="12" t="str">
        <f aca="false">IF(B300&lt;&gt;"","CS-"&amp;TEXT(297,"000"),"")</f>
        <v/>
      </c>
      <c r="B300" s="13"/>
      <c r="C300" s="13"/>
      <c r="D300" s="13"/>
      <c r="E300" s="13"/>
      <c r="F300" s="13"/>
      <c r="G300" s="13"/>
      <c r="H300" s="13"/>
      <c r="I300" s="14"/>
      <c r="J300" s="13"/>
    </row>
    <row r="301" customFormat="false" ht="15" hidden="false" customHeight="false" outlineLevel="0" collapsed="false">
      <c r="A301" s="12" t="str">
        <f aca="false">IF(B301&lt;&gt;"","CS-"&amp;TEXT(298,"000"),"")</f>
        <v/>
      </c>
      <c r="B301" s="13"/>
      <c r="C301" s="13"/>
      <c r="D301" s="13"/>
      <c r="E301" s="13"/>
      <c r="F301" s="13"/>
      <c r="G301" s="13"/>
      <c r="H301" s="13"/>
      <c r="I301" s="14"/>
      <c r="J301" s="13"/>
    </row>
    <row r="302" customFormat="false" ht="15" hidden="false" customHeight="false" outlineLevel="0" collapsed="false">
      <c r="A302" s="12" t="str">
        <f aca="false">IF(B302&lt;&gt;"","CS-"&amp;TEXT(299,"000"),"")</f>
        <v/>
      </c>
      <c r="B302" s="13"/>
      <c r="C302" s="13"/>
      <c r="D302" s="13"/>
      <c r="E302" s="13"/>
      <c r="F302" s="13"/>
      <c r="G302" s="13"/>
      <c r="H302" s="13"/>
      <c r="I302" s="14"/>
      <c r="J302" s="13"/>
    </row>
    <row r="303" customFormat="false" ht="15" hidden="false" customHeight="false" outlineLevel="0" collapsed="false">
      <c r="A303" s="12" t="str">
        <f aca="false">IF(B303&lt;&gt;"","CS-"&amp;TEXT(300,"000"),"")</f>
        <v/>
      </c>
      <c r="B303" s="13"/>
      <c r="C303" s="13"/>
      <c r="D303" s="13"/>
      <c r="E303" s="13"/>
      <c r="F303" s="13"/>
      <c r="G303" s="13"/>
      <c r="H303" s="13"/>
      <c r="I303" s="14"/>
      <c r="J303" s="13"/>
    </row>
    <row r="304" customFormat="false" ht="15" hidden="false" customHeight="false" outlineLevel="0" collapsed="false">
      <c r="A304" s="12" t="str">
        <f aca="false">IF(B304&lt;&gt;"","CS-"&amp;TEXT(301,"000"),"")</f>
        <v/>
      </c>
      <c r="B304" s="13"/>
      <c r="C304" s="13"/>
      <c r="D304" s="13"/>
      <c r="E304" s="13"/>
      <c r="F304" s="13"/>
      <c r="G304" s="13"/>
      <c r="H304" s="13"/>
      <c r="I304" s="14"/>
      <c r="J304" s="13"/>
    </row>
    <row r="305" customFormat="false" ht="15" hidden="false" customHeight="false" outlineLevel="0" collapsed="false">
      <c r="A305" s="12" t="str">
        <f aca="false">IF(B305&lt;&gt;"","CS-"&amp;TEXT(302,"000"),"")</f>
        <v/>
      </c>
      <c r="B305" s="13"/>
      <c r="C305" s="13"/>
      <c r="D305" s="13"/>
      <c r="E305" s="13"/>
      <c r="F305" s="13"/>
      <c r="G305" s="13"/>
      <c r="H305" s="13"/>
      <c r="I305" s="14"/>
      <c r="J305" s="13"/>
    </row>
    <row r="306" customFormat="false" ht="15" hidden="false" customHeight="false" outlineLevel="0" collapsed="false">
      <c r="A306" s="12" t="str">
        <f aca="false">IF(B306&lt;&gt;"","CS-"&amp;TEXT(303,"000"),"")</f>
        <v/>
      </c>
      <c r="B306" s="13"/>
      <c r="C306" s="13"/>
      <c r="D306" s="13"/>
      <c r="E306" s="13"/>
      <c r="F306" s="13"/>
      <c r="G306" s="13"/>
      <c r="H306" s="13"/>
      <c r="I306" s="14"/>
      <c r="J306" s="13"/>
    </row>
    <row r="307" customFormat="false" ht="15" hidden="false" customHeight="false" outlineLevel="0" collapsed="false">
      <c r="A307" s="12" t="str">
        <f aca="false">IF(B307&lt;&gt;"","CS-"&amp;TEXT(304,"000"),"")</f>
        <v/>
      </c>
      <c r="B307" s="13"/>
      <c r="C307" s="13"/>
      <c r="D307" s="13"/>
      <c r="E307" s="13"/>
      <c r="F307" s="13"/>
      <c r="G307" s="13"/>
      <c r="H307" s="13"/>
      <c r="I307" s="14"/>
      <c r="J307" s="13"/>
    </row>
    <row r="308" customFormat="false" ht="15" hidden="false" customHeight="false" outlineLevel="0" collapsed="false">
      <c r="A308" s="12" t="str">
        <f aca="false">IF(B308&lt;&gt;"","CS-"&amp;TEXT(305,"000"),"")</f>
        <v/>
      </c>
      <c r="B308" s="13"/>
      <c r="C308" s="13"/>
      <c r="D308" s="13"/>
      <c r="E308" s="13"/>
      <c r="F308" s="13"/>
      <c r="G308" s="13"/>
      <c r="H308" s="13"/>
      <c r="I308" s="14"/>
      <c r="J308" s="13"/>
    </row>
    <row r="309" customFormat="false" ht="15" hidden="false" customHeight="false" outlineLevel="0" collapsed="false">
      <c r="A309" s="12" t="str">
        <f aca="false">IF(B309&lt;&gt;"","CS-"&amp;TEXT(306,"000"),"")</f>
        <v/>
      </c>
      <c r="B309" s="13"/>
      <c r="C309" s="13"/>
      <c r="D309" s="13"/>
      <c r="E309" s="13"/>
      <c r="F309" s="13"/>
      <c r="G309" s="13"/>
      <c r="H309" s="13"/>
      <c r="I309" s="14"/>
      <c r="J309" s="13"/>
    </row>
    <row r="310" customFormat="false" ht="15" hidden="false" customHeight="false" outlineLevel="0" collapsed="false">
      <c r="A310" s="12" t="str">
        <f aca="false">IF(B310&lt;&gt;"","CS-"&amp;TEXT(307,"000"),"")</f>
        <v/>
      </c>
      <c r="B310" s="13"/>
      <c r="C310" s="13"/>
      <c r="D310" s="13"/>
      <c r="E310" s="13"/>
      <c r="F310" s="13"/>
      <c r="G310" s="13"/>
      <c r="H310" s="13"/>
      <c r="I310" s="14"/>
      <c r="J310" s="13"/>
    </row>
    <row r="311" customFormat="false" ht="15" hidden="false" customHeight="false" outlineLevel="0" collapsed="false">
      <c r="A311" s="12" t="str">
        <f aca="false">IF(B311&lt;&gt;"","CS-"&amp;TEXT(308,"000"),"")</f>
        <v/>
      </c>
      <c r="B311" s="13"/>
      <c r="C311" s="13"/>
      <c r="D311" s="13"/>
      <c r="E311" s="13"/>
      <c r="F311" s="13"/>
      <c r="G311" s="13"/>
      <c r="H311" s="13"/>
      <c r="I311" s="14"/>
      <c r="J311" s="13"/>
    </row>
    <row r="312" customFormat="false" ht="15" hidden="false" customHeight="false" outlineLevel="0" collapsed="false">
      <c r="A312" s="12" t="str">
        <f aca="false">IF(B312&lt;&gt;"","CS-"&amp;TEXT(309,"000"),"")</f>
        <v/>
      </c>
      <c r="B312" s="13"/>
      <c r="C312" s="13"/>
      <c r="D312" s="13"/>
      <c r="E312" s="13"/>
      <c r="F312" s="13"/>
      <c r="G312" s="13"/>
      <c r="H312" s="13"/>
      <c r="I312" s="14"/>
      <c r="J312" s="13"/>
    </row>
    <row r="313" customFormat="false" ht="15" hidden="false" customHeight="false" outlineLevel="0" collapsed="false">
      <c r="A313" s="12" t="str">
        <f aca="false">IF(B313&lt;&gt;"","CS-"&amp;TEXT(310,"000"),"")</f>
        <v/>
      </c>
      <c r="B313" s="13"/>
      <c r="C313" s="13"/>
      <c r="D313" s="13"/>
      <c r="E313" s="13"/>
      <c r="F313" s="13"/>
      <c r="G313" s="13"/>
      <c r="H313" s="13"/>
      <c r="I313" s="14"/>
      <c r="J313" s="13"/>
    </row>
    <row r="314" customFormat="false" ht="15" hidden="false" customHeight="false" outlineLevel="0" collapsed="false">
      <c r="A314" s="12" t="str">
        <f aca="false">IF(B314&lt;&gt;"","CS-"&amp;TEXT(311,"000"),"")</f>
        <v/>
      </c>
      <c r="B314" s="13"/>
      <c r="C314" s="13"/>
      <c r="D314" s="13"/>
      <c r="E314" s="13"/>
      <c r="F314" s="13"/>
      <c r="G314" s="13"/>
      <c r="H314" s="13"/>
      <c r="I314" s="14"/>
      <c r="J314" s="13"/>
    </row>
    <row r="315" customFormat="false" ht="15" hidden="false" customHeight="false" outlineLevel="0" collapsed="false">
      <c r="A315" s="12" t="str">
        <f aca="false">IF(B315&lt;&gt;"","CS-"&amp;TEXT(312,"000"),"")</f>
        <v/>
      </c>
      <c r="B315" s="13"/>
      <c r="C315" s="13"/>
      <c r="D315" s="13"/>
      <c r="E315" s="13"/>
      <c r="F315" s="13"/>
      <c r="G315" s="13"/>
      <c r="H315" s="13"/>
      <c r="I315" s="14"/>
      <c r="J315" s="13"/>
    </row>
    <row r="316" customFormat="false" ht="15" hidden="false" customHeight="false" outlineLevel="0" collapsed="false">
      <c r="A316" s="12" t="str">
        <f aca="false">IF(B316&lt;&gt;"","CS-"&amp;TEXT(313,"000"),"")</f>
        <v/>
      </c>
      <c r="B316" s="13"/>
      <c r="C316" s="13"/>
      <c r="D316" s="13"/>
      <c r="E316" s="13"/>
      <c r="F316" s="13"/>
      <c r="G316" s="13"/>
      <c r="H316" s="13"/>
      <c r="I316" s="14"/>
      <c r="J316" s="13"/>
    </row>
    <row r="317" customFormat="false" ht="15" hidden="false" customHeight="false" outlineLevel="0" collapsed="false">
      <c r="A317" s="12" t="str">
        <f aca="false">IF(B317&lt;&gt;"","CS-"&amp;TEXT(314,"000"),"")</f>
        <v/>
      </c>
      <c r="B317" s="13"/>
      <c r="C317" s="13"/>
      <c r="D317" s="13"/>
      <c r="E317" s="13"/>
      <c r="F317" s="13"/>
      <c r="G317" s="13"/>
      <c r="H317" s="13"/>
      <c r="I317" s="14"/>
      <c r="J317" s="13"/>
    </row>
    <row r="318" customFormat="false" ht="15" hidden="false" customHeight="false" outlineLevel="0" collapsed="false">
      <c r="A318" s="12" t="str">
        <f aca="false">IF(B318&lt;&gt;"","CS-"&amp;TEXT(315,"000"),"")</f>
        <v/>
      </c>
      <c r="B318" s="13"/>
      <c r="C318" s="13"/>
      <c r="D318" s="13"/>
      <c r="E318" s="13"/>
      <c r="F318" s="13"/>
      <c r="G318" s="13"/>
      <c r="H318" s="13"/>
      <c r="I318" s="14"/>
      <c r="J318" s="13"/>
    </row>
    <row r="319" customFormat="false" ht="15" hidden="false" customHeight="false" outlineLevel="0" collapsed="false">
      <c r="A319" s="12" t="str">
        <f aca="false">IF(B319&lt;&gt;"","CS-"&amp;TEXT(316,"000"),"")</f>
        <v/>
      </c>
      <c r="B319" s="13"/>
      <c r="C319" s="13"/>
      <c r="D319" s="13"/>
      <c r="E319" s="13"/>
      <c r="F319" s="13"/>
      <c r="G319" s="13"/>
      <c r="H319" s="13"/>
      <c r="I319" s="14"/>
      <c r="J319" s="13"/>
    </row>
    <row r="320" customFormat="false" ht="15" hidden="false" customHeight="false" outlineLevel="0" collapsed="false">
      <c r="A320" s="12" t="str">
        <f aca="false">IF(B320&lt;&gt;"","CS-"&amp;TEXT(317,"000"),"")</f>
        <v/>
      </c>
      <c r="B320" s="13"/>
      <c r="C320" s="13"/>
      <c r="D320" s="13"/>
      <c r="E320" s="13"/>
      <c r="F320" s="13"/>
      <c r="G320" s="13"/>
      <c r="H320" s="13"/>
      <c r="I320" s="14"/>
      <c r="J320" s="13"/>
    </row>
    <row r="321" customFormat="false" ht="15" hidden="false" customHeight="false" outlineLevel="0" collapsed="false">
      <c r="A321" s="12" t="str">
        <f aca="false">IF(B321&lt;&gt;"","CS-"&amp;TEXT(318,"000"),"")</f>
        <v/>
      </c>
      <c r="B321" s="13"/>
      <c r="C321" s="13"/>
      <c r="D321" s="13"/>
      <c r="E321" s="13"/>
      <c r="F321" s="13"/>
      <c r="G321" s="13"/>
      <c r="H321" s="13"/>
      <c r="I321" s="14"/>
      <c r="J321" s="13"/>
    </row>
    <row r="322" customFormat="false" ht="15" hidden="false" customHeight="false" outlineLevel="0" collapsed="false">
      <c r="A322" s="12" t="str">
        <f aca="false">IF(B322&lt;&gt;"","CS-"&amp;TEXT(319,"000"),"")</f>
        <v/>
      </c>
      <c r="B322" s="13"/>
      <c r="C322" s="13"/>
      <c r="D322" s="13"/>
      <c r="E322" s="13"/>
      <c r="F322" s="13"/>
      <c r="G322" s="13"/>
      <c r="H322" s="13"/>
      <c r="I322" s="14"/>
      <c r="J322" s="13"/>
    </row>
    <row r="323" customFormat="false" ht="15" hidden="false" customHeight="false" outlineLevel="0" collapsed="false">
      <c r="A323" s="12" t="str">
        <f aca="false">IF(B323&lt;&gt;"","CS-"&amp;TEXT(320,"000"),"")</f>
        <v/>
      </c>
      <c r="B323" s="13"/>
      <c r="C323" s="13"/>
      <c r="D323" s="13"/>
      <c r="E323" s="13"/>
      <c r="F323" s="13"/>
      <c r="G323" s="13"/>
      <c r="H323" s="13"/>
      <c r="I323" s="14"/>
      <c r="J323" s="13"/>
    </row>
    <row r="324" customFormat="false" ht="15" hidden="false" customHeight="false" outlineLevel="0" collapsed="false">
      <c r="A324" s="12" t="str">
        <f aca="false">IF(B324&lt;&gt;"","CS-"&amp;TEXT(321,"000"),"")</f>
        <v/>
      </c>
      <c r="B324" s="13"/>
      <c r="C324" s="13"/>
      <c r="D324" s="13"/>
      <c r="E324" s="13"/>
      <c r="F324" s="13"/>
      <c r="G324" s="13"/>
      <c r="H324" s="13"/>
      <c r="I324" s="14"/>
      <c r="J324" s="13"/>
    </row>
    <row r="325" customFormat="false" ht="15" hidden="false" customHeight="false" outlineLevel="0" collapsed="false">
      <c r="A325" s="12" t="str">
        <f aca="false">IF(B325&lt;&gt;"","CS-"&amp;TEXT(322,"000"),"")</f>
        <v/>
      </c>
      <c r="B325" s="13"/>
      <c r="C325" s="13"/>
      <c r="D325" s="13"/>
      <c r="E325" s="13"/>
      <c r="F325" s="13"/>
      <c r="G325" s="13"/>
      <c r="H325" s="13"/>
      <c r="I325" s="14"/>
      <c r="J325" s="13"/>
    </row>
    <row r="326" customFormat="false" ht="15" hidden="false" customHeight="false" outlineLevel="0" collapsed="false">
      <c r="A326" s="12" t="str">
        <f aca="false">IF(B326&lt;&gt;"","CS-"&amp;TEXT(323,"000"),"")</f>
        <v/>
      </c>
      <c r="B326" s="13"/>
      <c r="C326" s="13"/>
      <c r="D326" s="13"/>
      <c r="E326" s="13"/>
      <c r="F326" s="13"/>
      <c r="G326" s="13"/>
      <c r="H326" s="13"/>
      <c r="I326" s="14"/>
      <c r="J326" s="13"/>
    </row>
    <row r="327" customFormat="false" ht="15" hidden="false" customHeight="false" outlineLevel="0" collapsed="false">
      <c r="A327" s="12" t="str">
        <f aca="false">IF(B327&lt;&gt;"","CS-"&amp;TEXT(324,"000"),"")</f>
        <v/>
      </c>
      <c r="B327" s="13"/>
      <c r="C327" s="13"/>
      <c r="D327" s="13"/>
      <c r="E327" s="13"/>
      <c r="F327" s="13"/>
      <c r="G327" s="13"/>
      <c r="H327" s="13"/>
      <c r="I327" s="14"/>
      <c r="J327" s="13"/>
    </row>
    <row r="328" customFormat="false" ht="15" hidden="false" customHeight="false" outlineLevel="0" collapsed="false">
      <c r="A328" s="12" t="str">
        <f aca="false">IF(B328&lt;&gt;"","CS-"&amp;TEXT(325,"000"),"")</f>
        <v/>
      </c>
      <c r="B328" s="13"/>
      <c r="C328" s="13"/>
      <c r="D328" s="13"/>
      <c r="E328" s="13"/>
      <c r="F328" s="13"/>
      <c r="G328" s="13"/>
      <c r="H328" s="13"/>
      <c r="I328" s="14"/>
      <c r="J328" s="13"/>
    </row>
    <row r="329" customFormat="false" ht="15" hidden="false" customHeight="false" outlineLevel="0" collapsed="false">
      <c r="A329" s="12" t="str">
        <f aca="false">IF(B329&lt;&gt;"","CS-"&amp;TEXT(326,"000"),"")</f>
        <v/>
      </c>
      <c r="B329" s="13"/>
      <c r="C329" s="13"/>
      <c r="D329" s="13"/>
      <c r="E329" s="13"/>
      <c r="F329" s="13"/>
      <c r="G329" s="13"/>
      <c r="H329" s="13"/>
      <c r="I329" s="14"/>
      <c r="J329" s="13"/>
    </row>
    <row r="330" customFormat="false" ht="15" hidden="false" customHeight="false" outlineLevel="0" collapsed="false">
      <c r="A330" s="12" t="str">
        <f aca="false">IF(B330&lt;&gt;"","CS-"&amp;TEXT(327,"000"),"")</f>
        <v/>
      </c>
      <c r="B330" s="13"/>
      <c r="C330" s="13"/>
      <c r="D330" s="13"/>
      <c r="E330" s="13"/>
      <c r="F330" s="13"/>
      <c r="G330" s="13"/>
      <c r="H330" s="13"/>
      <c r="I330" s="14"/>
      <c r="J330" s="13"/>
    </row>
    <row r="331" customFormat="false" ht="15" hidden="false" customHeight="false" outlineLevel="0" collapsed="false">
      <c r="A331" s="12" t="str">
        <f aca="false">IF(B331&lt;&gt;"","CS-"&amp;TEXT(328,"000"),"")</f>
        <v/>
      </c>
      <c r="B331" s="13"/>
      <c r="C331" s="13"/>
      <c r="D331" s="13"/>
      <c r="E331" s="13"/>
      <c r="F331" s="13"/>
      <c r="G331" s="13"/>
      <c r="H331" s="13"/>
      <c r="I331" s="14"/>
      <c r="J331" s="13"/>
    </row>
    <row r="332" customFormat="false" ht="15" hidden="false" customHeight="false" outlineLevel="0" collapsed="false">
      <c r="A332" s="12" t="str">
        <f aca="false">IF(B332&lt;&gt;"","CS-"&amp;TEXT(329,"000"),"")</f>
        <v/>
      </c>
      <c r="B332" s="13"/>
      <c r="C332" s="13"/>
      <c r="D332" s="13"/>
      <c r="E332" s="13"/>
      <c r="F332" s="13"/>
      <c r="G332" s="13"/>
      <c r="H332" s="13"/>
      <c r="I332" s="14"/>
      <c r="J332" s="13"/>
    </row>
    <row r="333" customFormat="false" ht="15" hidden="false" customHeight="false" outlineLevel="0" collapsed="false">
      <c r="A333" s="12" t="str">
        <f aca="false">IF(B333&lt;&gt;"","CS-"&amp;TEXT(330,"000"),"")</f>
        <v/>
      </c>
      <c r="B333" s="13"/>
      <c r="C333" s="13"/>
      <c r="D333" s="13"/>
      <c r="E333" s="13"/>
      <c r="F333" s="13"/>
      <c r="G333" s="13"/>
      <c r="H333" s="13"/>
      <c r="I333" s="14"/>
      <c r="J333" s="13"/>
    </row>
    <row r="334" customFormat="false" ht="15" hidden="false" customHeight="false" outlineLevel="0" collapsed="false">
      <c r="A334" s="12" t="str">
        <f aca="false">IF(B334&lt;&gt;"","CS-"&amp;TEXT(331,"000"),"")</f>
        <v/>
      </c>
      <c r="B334" s="13"/>
      <c r="C334" s="13"/>
      <c r="D334" s="13"/>
      <c r="E334" s="13"/>
      <c r="F334" s="13"/>
      <c r="G334" s="13"/>
      <c r="H334" s="13"/>
      <c r="I334" s="14"/>
      <c r="J334" s="13"/>
    </row>
    <row r="335" customFormat="false" ht="15" hidden="false" customHeight="false" outlineLevel="0" collapsed="false">
      <c r="A335" s="12" t="str">
        <f aca="false">IF(B335&lt;&gt;"","CS-"&amp;TEXT(332,"000"),"")</f>
        <v/>
      </c>
      <c r="B335" s="13"/>
      <c r="C335" s="13"/>
      <c r="D335" s="13"/>
      <c r="E335" s="13"/>
      <c r="F335" s="13"/>
      <c r="G335" s="13"/>
      <c r="H335" s="13"/>
      <c r="I335" s="14"/>
      <c r="J335" s="13"/>
    </row>
    <row r="336" customFormat="false" ht="15" hidden="false" customHeight="false" outlineLevel="0" collapsed="false">
      <c r="A336" s="12" t="str">
        <f aca="false">IF(B336&lt;&gt;"","CS-"&amp;TEXT(333,"000"),"")</f>
        <v/>
      </c>
      <c r="B336" s="13"/>
      <c r="C336" s="13"/>
      <c r="D336" s="13"/>
      <c r="E336" s="13"/>
      <c r="F336" s="13"/>
      <c r="G336" s="13"/>
      <c r="H336" s="13"/>
      <c r="I336" s="14"/>
      <c r="J336" s="13"/>
    </row>
    <row r="337" customFormat="false" ht="15" hidden="false" customHeight="false" outlineLevel="0" collapsed="false">
      <c r="A337" s="12" t="str">
        <f aca="false">IF(B337&lt;&gt;"","CS-"&amp;TEXT(334,"000"),"")</f>
        <v/>
      </c>
      <c r="B337" s="13"/>
      <c r="C337" s="13"/>
      <c r="D337" s="13"/>
      <c r="E337" s="13"/>
      <c r="F337" s="13"/>
      <c r="G337" s="13"/>
      <c r="H337" s="13"/>
      <c r="I337" s="14"/>
      <c r="J337" s="13"/>
    </row>
    <row r="338" customFormat="false" ht="15" hidden="false" customHeight="false" outlineLevel="0" collapsed="false">
      <c r="A338" s="12" t="str">
        <f aca="false">IF(B338&lt;&gt;"","CS-"&amp;TEXT(335,"000"),"")</f>
        <v/>
      </c>
      <c r="B338" s="13"/>
      <c r="C338" s="13"/>
      <c r="D338" s="13"/>
      <c r="E338" s="13"/>
      <c r="F338" s="13"/>
      <c r="G338" s="13"/>
      <c r="H338" s="13"/>
      <c r="I338" s="14"/>
      <c r="J338" s="13"/>
    </row>
    <row r="339" customFormat="false" ht="15" hidden="false" customHeight="false" outlineLevel="0" collapsed="false">
      <c r="A339" s="12" t="str">
        <f aca="false">IF(B339&lt;&gt;"","CS-"&amp;TEXT(336,"000"),"")</f>
        <v/>
      </c>
      <c r="B339" s="13"/>
      <c r="C339" s="13"/>
      <c r="D339" s="13"/>
      <c r="E339" s="13"/>
      <c r="F339" s="13"/>
      <c r="G339" s="13"/>
      <c r="H339" s="13"/>
      <c r="I339" s="14"/>
      <c r="J339" s="13"/>
    </row>
    <row r="340" customFormat="false" ht="15" hidden="false" customHeight="false" outlineLevel="0" collapsed="false">
      <c r="A340" s="12" t="str">
        <f aca="false">IF(B340&lt;&gt;"","CS-"&amp;TEXT(337,"000"),"")</f>
        <v/>
      </c>
      <c r="B340" s="13"/>
      <c r="C340" s="13"/>
      <c r="D340" s="13"/>
      <c r="E340" s="13"/>
      <c r="F340" s="13"/>
      <c r="G340" s="13"/>
      <c r="H340" s="13"/>
      <c r="I340" s="14"/>
      <c r="J340" s="13"/>
    </row>
    <row r="341" customFormat="false" ht="15" hidden="false" customHeight="false" outlineLevel="0" collapsed="false">
      <c r="A341" s="12" t="str">
        <f aca="false">IF(B341&lt;&gt;"","CS-"&amp;TEXT(338,"000"),"")</f>
        <v/>
      </c>
      <c r="B341" s="13"/>
      <c r="C341" s="13"/>
      <c r="D341" s="13"/>
      <c r="E341" s="13"/>
      <c r="F341" s="13"/>
      <c r="G341" s="13"/>
      <c r="H341" s="13"/>
      <c r="I341" s="14"/>
      <c r="J341" s="13"/>
    </row>
    <row r="342" customFormat="false" ht="15" hidden="false" customHeight="false" outlineLevel="0" collapsed="false">
      <c r="A342" s="12" t="str">
        <f aca="false">IF(B342&lt;&gt;"","CS-"&amp;TEXT(339,"000"),"")</f>
        <v/>
      </c>
      <c r="B342" s="13"/>
      <c r="C342" s="13"/>
      <c r="D342" s="13"/>
      <c r="E342" s="13"/>
      <c r="F342" s="13"/>
      <c r="G342" s="13"/>
      <c r="H342" s="13"/>
      <c r="I342" s="14"/>
      <c r="J342" s="13"/>
    </row>
    <row r="343" customFormat="false" ht="15" hidden="false" customHeight="false" outlineLevel="0" collapsed="false">
      <c r="A343" s="12" t="str">
        <f aca="false">IF(B343&lt;&gt;"","CS-"&amp;TEXT(340,"000"),"")</f>
        <v/>
      </c>
      <c r="B343" s="13"/>
      <c r="C343" s="13"/>
      <c r="D343" s="13"/>
      <c r="E343" s="13"/>
      <c r="F343" s="13"/>
      <c r="G343" s="13"/>
      <c r="H343" s="13"/>
      <c r="I343" s="14"/>
      <c r="J343" s="13"/>
    </row>
    <row r="344" customFormat="false" ht="15" hidden="false" customHeight="false" outlineLevel="0" collapsed="false">
      <c r="A344" s="12" t="str">
        <f aca="false">IF(B344&lt;&gt;"","CS-"&amp;TEXT(341,"000"),"")</f>
        <v/>
      </c>
      <c r="B344" s="13"/>
      <c r="C344" s="13"/>
      <c r="D344" s="13"/>
      <c r="E344" s="13"/>
      <c r="F344" s="13"/>
      <c r="G344" s="13"/>
      <c r="H344" s="13"/>
      <c r="I344" s="14"/>
      <c r="J344" s="13"/>
    </row>
    <row r="345" customFormat="false" ht="15" hidden="false" customHeight="false" outlineLevel="0" collapsed="false">
      <c r="A345" s="12" t="str">
        <f aca="false">IF(B345&lt;&gt;"","CS-"&amp;TEXT(342,"000"),"")</f>
        <v/>
      </c>
      <c r="B345" s="13"/>
      <c r="C345" s="13"/>
      <c r="D345" s="13"/>
      <c r="E345" s="13"/>
      <c r="F345" s="13"/>
      <c r="G345" s="13"/>
      <c r="H345" s="13"/>
      <c r="I345" s="14"/>
      <c r="J345" s="13"/>
    </row>
    <row r="346" customFormat="false" ht="15" hidden="false" customHeight="false" outlineLevel="0" collapsed="false">
      <c r="A346" s="12" t="str">
        <f aca="false">IF(B346&lt;&gt;"","CS-"&amp;TEXT(343,"000"),"")</f>
        <v/>
      </c>
      <c r="B346" s="13"/>
      <c r="C346" s="13"/>
      <c r="D346" s="13"/>
      <c r="E346" s="13"/>
      <c r="F346" s="13"/>
      <c r="G346" s="13"/>
      <c r="H346" s="13"/>
      <c r="I346" s="14"/>
      <c r="J346" s="13"/>
    </row>
    <row r="347" customFormat="false" ht="15" hidden="false" customHeight="false" outlineLevel="0" collapsed="false">
      <c r="A347" s="12" t="str">
        <f aca="false">IF(B347&lt;&gt;"","CS-"&amp;TEXT(344,"000"),"")</f>
        <v/>
      </c>
      <c r="B347" s="13"/>
      <c r="C347" s="13"/>
      <c r="D347" s="13"/>
      <c r="E347" s="13"/>
      <c r="F347" s="13"/>
      <c r="G347" s="13"/>
      <c r="H347" s="13"/>
      <c r="I347" s="14"/>
      <c r="J347" s="13"/>
    </row>
    <row r="348" customFormat="false" ht="15" hidden="false" customHeight="false" outlineLevel="0" collapsed="false">
      <c r="A348" s="12" t="str">
        <f aca="false">IF(B348&lt;&gt;"","CS-"&amp;TEXT(345,"000"),"")</f>
        <v/>
      </c>
      <c r="B348" s="13"/>
      <c r="C348" s="13"/>
      <c r="D348" s="13"/>
      <c r="E348" s="13"/>
      <c r="F348" s="13"/>
      <c r="G348" s="13"/>
      <c r="H348" s="13"/>
      <c r="I348" s="14"/>
      <c r="J348" s="13"/>
    </row>
    <row r="349" customFormat="false" ht="15" hidden="false" customHeight="false" outlineLevel="0" collapsed="false">
      <c r="A349" s="12" t="str">
        <f aca="false">IF(B349&lt;&gt;"","CS-"&amp;TEXT(346,"000"),"")</f>
        <v/>
      </c>
      <c r="B349" s="13"/>
      <c r="C349" s="13"/>
      <c r="D349" s="13"/>
      <c r="E349" s="13"/>
      <c r="F349" s="13"/>
      <c r="G349" s="13"/>
      <c r="H349" s="13"/>
      <c r="I349" s="14"/>
      <c r="J349" s="13"/>
    </row>
    <row r="350" customFormat="false" ht="15" hidden="false" customHeight="false" outlineLevel="0" collapsed="false">
      <c r="A350" s="12" t="str">
        <f aca="false">IF(B350&lt;&gt;"","CS-"&amp;TEXT(347,"000"),"")</f>
        <v/>
      </c>
      <c r="B350" s="13"/>
      <c r="C350" s="13"/>
      <c r="D350" s="13"/>
      <c r="E350" s="13"/>
      <c r="F350" s="13"/>
      <c r="G350" s="13"/>
      <c r="H350" s="13"/>
      <c r="I350" s="14"/>
      <c r="J350" s="13"/>
    </row>
    <row r="351" customFormat="false" ht="15" hidden="false" customHeight="false" outlineLevel="0" collapsed="false">
      <c r="A351" s="12" t="str">
        <f aca="false">IF(B351&lt;&gt;"","CS-"&amp;TEXT(348,"000"),"")</f>
        <v/>
      </c>
      <c r="B351" s="13"/>
      <c r="C351" s="13"/>
      <c r="D351" s="13"/>
      <c r="E351" s="13"/>
      <c r="F351" s="13"/>
      <c r="G351" s="13"/>
      <c r="H351" s="13"/>
      <c r="I351" s="14"/>
      <c r="J351" s="13"/>
    </row>
    <row r="352" customFormat="false" ht="15" hidden="false" customHeight="false" outlineLevel="0" collapsed="false">
      <c r="A352" s="12" t="str">
        <f aca="false">IF(B352&lt;&gt;"","CS-"&amp;TEXT(349,"000"),"")</f>
        <v/>
      </c>
      <c r="B352" s="13"/>
      <c r="C352" s="13"/>
      <c r="D352" s="13"/>
      <c r="E352" s="13"/>
      <c r="F352" s="13"/>
      <c r="G352" s="13"/>
      <c r="H352" s="13"/>
      <c r="I352" s="14"/>
      <c r="J352" s="13"/>
    </row>
    <row r="353" customFormat="false" ht="15" hidden="false" customHeight="false" outlineLevel="0" collapsed="false">
      <c r="A353" s="12" t="str">
        <f aca="false">IF(B353&lt;&gt;"","CS-"&amp;TEXT(350,"000"),"")</f>
        <v/>
      </c>
      <c r="B353" s="13"/>
      <c r="C353" s="13"/>
      <c r="D353" s="13"/>
      <c r="E353" s="13"/>
      <c r="F353" s="13"/>
      <c r="G353" s="13"/>
      <c r="H353" s="13"/>
      <c r="I353" s="14"/>
      <c r="J353" s="13"/>
    </row>
    <row r="354" customFormat="false" ht="15" hidden="false" customHeight="false" outlineLevel="0" collapsed="false">
      <c r="A354" s="12" t="str">
        <f aca="false">IF(B354&lt;&gt;"","CS-"&amp;TEXT(351,"000"),"")</f>
        <v/>
      </c>
      <c r="B354" s="13"/>
      <c r="C354" s="13"/>
      <c r="D354" s="13"/>
      <c r="E354" s="13"/>
      <c r="F354" s="13"/>
      <c r="G354" s="13"/>
      <c r="H354" s="13"/>
      <c r="I354" s="14"/>
      <c r="J354" s="13"/>
    </row>
    <row r="355" customFormat="false" ht="15" hidden="false" customHeight="false" outlineLevel="0" collapsed="false">
      <c r="A355" s="12" t="str">
        <f aca="false">IF(B355&lt;&gt;"","CS-"&amp;TEXT(352,"000"),"")</f>
        <v/>
      </c>
      <c r="B355" s="13"/>
      <c r="C355" s="13"/>
      <c r="D355" s="13"/>
      <c r="E355" s="13"/>
      <c r="F355" s="13"/>
      <c r="G355" s="13"/>
      <c r="H355" s="13"/>
      <c r="I355" s="14"/>
      <c r="J355" s="13"/>
    </row>
    <row r="356" customFormat="false" ht="15" hidden="false" customHeight="false" outlineLevel="0" collapsed="false">
      <c r="A356" s="12" t="str">
        <f aca="false">IF(B356&lt;&gt;"","CS-"&amp;TEXT(353,"000"),"")</f>
        <v/>
      </c>
      <c r="B356" s="13"/>
      <c r="C356" s="13"/>
      <c r="D356" s="13"/>
      <c r="E356" s="13"/>
      <c r="F356" s="13"/>
      <c r="G356" s="13"/>
      <c r="H356" s="13"/>
      <c r="I356" s="14"/>
      <c r="J356" s="13"/>
    </row>
    <row r="357" customFormat="false" ht="15" hidden="false" customHeight="false" outlineLevel="0" collapsed="false">
      <c r="A357" s="12" t="str">
        <f aca="false">IF(B357&lt;&gt;"","CS-"&amp;TEXT(354,"000"),"")</f>
        <v/>
      </c>
      <c r="B357" s="13"/>
      <c r="C357" s="13"/>
      <c r="D357" s="13"/>
      <c r="E357" s="13"/>
      <c r="F357" s="13"/>
      <c r="G357" s="13"/>
      <c r="H357" s="13"/>
      <c r="I357" s="14"/>
      <c r="J357" s="13"/>
    </row>
    <row r="358" customFormat="false" ht="15" hidden="false" customHeight="false" outlineLevel="0" collapsed="false">
      <c r="A358" s="12" t="str">
        <f aca="false">IF(B358&lt;&gt;"","CS-"&amp;TEXT(355,"000"),"")</f>
        <v/>
      </c>
      <c r="B358" s="13"/>
      <c r="C358" s="13"/>
      <c r="D358" s="13"/>
      <c r="E358" s="13"/>
      <c r="F358" s="13"/>
      <c r="G358" s="13"/>
      <c r="H358" s="13"/>
      <c r="I358" s="14"/>
      <c r="J358" s="13"/>
    </row>
    <row r="359" customFormat="false" ht="15" hidden="false" customHeight="false" outlineLevel="0" collapsed="false">
      <c r="A359" s="12" t="str">
        <f aca="false">IF(B359&lt;&gt;"","CS-"&amp;TEXT(356,"000"),"")</f>
        <v/>
      </c>
      <c r="B359" s="13"/>
      <c r="C359" s="13"/>
      <c r="D359" s="13"/>
      <c r="E359" s="13"/>
      <c r="F359" s="13"/>
      <c r="G359" s="13"/>
      <c r="H359" s="13"/>
      <c r="I359" s="14"/>
      <c r="J359" s="13"/>
    </row>
    <row r="360" customFormat="false" ht="15" hidden="false" customHeight="false" outlineLevel="0" collapsed="false">
      <c r="A360" s="12" t="str">
        <f aca="false">IF(B360&lt;&gt;"","CS-"&amp;TEXT(357,"000"),"")</f>
        <v/>
      </c>
      <c r="B360" s="13"/>
      <c r="C360" s="13"/>
      <c r="D360" s="13"/>
      <c r="E360" s="13"/>
      <c r="F360" s="13"/>
      <c r="G360" s="13"/>
      <c r="H360" s="13"/>
      <c r="I360" s="14"/>
      <c r="J360" s="13"/>
    </row>
    <row r="361" customFormat="false" ht="15" hidden="false" customHeight="false" outlineLevel="0" collapsed="false">
      <c r="A361" s="12" t="str">
        <f aca="false">IF(B361&lt;&gt;"","CS-"&amp;TEXT(358,"000"),"")</f>
        <v/>
      </c>
      <c r="B361" s="13"/>
      <c r="C361" s="13"/>
      <c r="D361" s="13"/>
      <c r="E361" s="13"/>
      <c r="F361" s="13"/>
      <c r="G361" s="13"/>
      <c r="H361" s="13"/>
      <c r="I361" s="14"/>
      <c r="J361" s="13"/>
    </row>
    <row r="362" customFormat="false" ht="15" hidden="false" customHeight="false" outlineLevel="0" collapsed="false">
      <c r="A362" s="12" t="str">
        <f aca="false">IF(B362&lt;&gt;"","CS-"&amp;TEXT(359,"000"),"")</f>
        <v/>
      </c>
      <c r="B362" s="13"/>
      <c r="C362" s="13"/>
      <c r="D362" s="13"/>
      <c r="E362" s="13"/>
      <c r="F362" s="13"/>
      <c r="G362" s="13"/>
      <c r="H362" s="13"/>
      <c r="I362" s="14"/>
      <c r="J362" s="13"/>
    </row>
    <row r="363" customFormat="false" ht="15" hidden="false" customHeight="false" outlineLevel="0" collapsed="false">
      <c r="A363" s="12" t="str">
        <f aca="false">IF(B363&lt;&gt;"","CS-"&amp;TEXT(360,"000"),"")</f>
        <v/>
      </c>
      <c r="B363" s="13"/>
      <c r="C363" s="13"/>
      <c r="D363" s="13"/>
      <c r="E363" s="13"/>
      <c r="F363" s="13"/>
      <c r="G363" s="13"/>
      <c r="H363" s="13"/>
      <c r="I363" s="14"/>
      <c r="J363" s="13"/>
    </row>
    <row r="364" customFormat="false" ht="15" hidden="false" customHeight="false" outlineLevel="0" collapsed="false">
      <c r="A364" s="12" t="str">
        <f aca="false">IF(B364&lt;&gt;"","CS-"&amp;TEXT(361,"000"),"")</f>
        <v/>
      </c>
      <c r="B364" s="13"/>
      <c r="C364" s="13"/>
      <c r="D364" s="13"/>
      <c r="E364" s="13"/>
      <c r="F364" s="13"/>
      <c r="G364" s="13"/>
      <c r="H364" s="13"/>
      <c r="I364" s="14"/>
      <c r="J364" s="13"/>
    </row>
    <row r="365" customFormat="false" ht="15" hidden="false" customHeight="false" outlineLevel="0" collapsed="false">
      <c r="A365" s="12" t="str">
        <f aca="false">IF(B365&lt;&gt;"","CS-"&amp;TEXT(362,"000"),"")</f>
        <v/>
      </c>
      <c r="B365" s="13"/>
      <c r="C365" s="13"/>
      <c r="D365" s="13"/>
      <c r="E365" s="13"/>
      <c r="F365" s="13"/>
      <c r="G365" s="13"/>
      <c r="H365" s="13"/>
      <c r="I365" s="14"/>
      <c r="J365" s="13"/>
    </row>
    <row r="366" customFormat="false" ht="15" hidden="false" customHeight="false" outlineLevel="0" collapsed="false">
      <c r="A366" s="12" t="str">
        <f aca="false">IF(B366&lt;&gt;"","CS-"&amp;TEXT(363,"000"),"")</f>
        <v/>
      </c>
      <c r="B366" s="13"/>
      <c r="C366" s="13"/>
      <c r="D366" s="13"/>
      <c r="E366" s="13"/>
      <c r="F366" s="13"/>
      <c r="G366" s="13"/>
      <c r="H366" s="13"/>
      <c r="I366" s="14"/>
      <c r="J366" s="13"/>
    </row>
    <row r="367" customFormat="false" ht="15" hidden="false" customHeight="false" outlineLevel="0" collapsed="false">
      <c r="A367" s="12" t="str">
        <f aca="false">IF(B367&lt;&gt;"","CS-"&amp;TEXT(364,"000"),"")</f>
        <v/>
      </c>
      <c r="B367" s="13"/>
      <c r="C367" s="13"/>
      <c r="D367" s="13"/>
      <c r="E367" s="13"/>
      <c r="F367" s="13"/>
      <c r="G367" s="13"/>
      <c r="H367" s="13"/>
      <c r="I367" s="14"/>
      <c r="J367" s="13"/>
    </row>
    <row r="368" customFormat="false" ht="15" hidden="false" customHeight="false" outlineLevel="0" collapsed="false">
      <c r="A368" s="12" t="str">
        <f aca="false">IF(B368&lt;&gt;"","CS-"&amp;TEXT(365,"000"),"")</f>
        <v/>
      </c>
      <c r="B368" s="13"/>
      <c r="C368" s="13"/>
      <c r="D368" s="13"/>
      <c r="E368" s="13"/>
      <c r="F368" s="13"/>
      <c r="G368" s="13"/>
      <c r="H368" s="13"/>
      <c r="I368" s="14"/>
      <c r="J368" s="13"/>
    </row>
    <row r="369" customFormat="false" ht="15" hidden="false" customHeight="false" outlineLevel="0" collapsed="false">
      <c r="A369" s="12" t="str">
        <f aca="false">IF(B369&lt;&gt;"","CS-"&amp;TEXT(366,"000"),"")</f>
        <v/>
      </c>
      <c r="B369" s="13"/>
      <c r="C369" s="13"/>
      <c r="D369" s="13"/>
      <c r="E369" s="13"/>
      <c r="F369" s="13"/>
      <c r="G369" s="13"/>
      <c r="H369" s="13"/>
      <c r="I369" s="14"/>
      <c r="J369" s="13"/>
    </row>
    <row r="370" customFormat="false" ht="15" hidden="false" customHeight="false" outlineLevel="0" collapsed="false">
      <c r="A370" s="12" t="str">
        <f aca="false">IF(B370&lt;&gt;"","CS-"&amp;TEXT(367,"000"),"")</f>
        <v/>
      </c>
      <c r="B370" s="13"/>
      <c r="C370" s="13"/>
      <c r="D370" s="13"/>
      <c r="E370" s="13"/>
      <c r="F370" s="13"/>
      <c r="G370" s="13"/>
      <c r="H370" s="13"/>
      <c r="I370" s="14"/>
      <c r="J370" s="13"/>
    </row>
    <row r="371" customFormat="false" ht="15" hidden="false" customHeight="false" outlineLevel="0" collapsed="false">
      <c r="A371" s="12" t="str">
        <f aca="false">IF(B371&lt;&gt;"","CS-"&amp;TEXT(368,"000"),"")</f>
        <v/>
      </c>
      <c r="B371" s="13"/>
      <c r="C371" s="13"/>
      <c r="D371" s="13"/>
      <c r="E371" s="13"/>
      <c r="F371" s="13"/>
      <c r="G371" s="13"/>
      <c r="H371" s="13"/>
      <c r="I371" s="14"/>
      <c r="J371" s="13"/>
    </row>
    <row r="372" customFormat="false" ht="15" hidden="false" customHeight="false" outlineLevel="0" collapsed="false">
      <c r="A372" s="12" t="str">
        <f aca="false">IF(B372&lt;&gt;"","CS-"&amp;TEXT(369,"000"),"")</f>
        <v/>
      </c>
      <c r="B372" s="13"/>
      <c r="C372" s="13"/>
      <c r="D372" s="13"/>
      <c r="E372" s="13"/>
      <c r="F372" s="13"/>
      <c r="G372" s="13"/>
      <c r="H372" s="13"/>
      <c r="I372" s="14"/>
      <c r="J372" s="13"/>
    </row>
    <row r="373" customFormat="false" ht="15" hidden="false" customHeight="false" outlineLevel="0" collapsed="false">
      <c r="A373" s="12" t="str">
        <f aca="false">IF(B373&lt;&gt;"","CS-"&amp;TEXT(370,"000"),"")</f>
        <v/>
      </c>
      <c r="B373" s="13"/>
      <c r="C373" s="13"/>
      <c r="D373" s="13"/>
      <c r="E373" s="13"/>
      <c r="F373" s="13"/>
      <c r="G373" s="13"/>
      <c r="H373" s="13"/>
      <c r="I373" s="14"/>
      <c r="J373" s="13"/>
    </row>
    <row r="374" customFormat="false" ht="15" hidden="false" customHeight="false" outlineLevel="0" collapsed="false">
      <c r="A374" s="12" t="str">
        <f aca="false">IF(B374&lt;&gt;"","CS-"&amp;TEXT(371,"000"),"")</f>
        <v/>
      </c>
      <c r="B374" s="13"/>
      <c r="C374" s="13"/>
      <c r="D374" s="13"/>
      <c r="E374" s="13"/>
      <c r="F374" s="13"/>
      <c r="G374" s="13"/>
      <c r="H374" s="13"/>
      <c r="I374" s="14"/>
      <c r="J374" s="13"/>
    </row>
    <row r="375" customFormat="false" ht="15" hidden="false" customHeight="false" outlineLevel="0" collapsed="false">
      <c r="A375" s="12" t="str">
        <f aca="false">IF(B375&lt;&gt;"","CS-"&amp;TEXT(372,"000"),"")</f>
        <v/>
      </c>
      <c r="B375" s="13"/>
      <c r="C375" s="13"/>
      <c r="D375" s="13"/>
      <c r="E375" s="13"/>
      <c r="F375" s="13"/>
      <c r="G375" s="13"/>
      <c r="H375" s="13"/>
      <c r="I375" s="14"/>
      <c r="J375" s="13"/>
    </row>
    <row r="376" customFormat="false" ht="15" hidden="false" customHeight="false" outlineLevel="0" collapsed="false">
      <c r="A376" s="12" t="str">
        <f aca="false">IF(B376&lt;&gt;"","CS-"&amp;TEXT(373,"000"),"")</f>
        <v/>
      </c>
      <c r="B376" s="13"/>
      <c r="C376" s="13"/>
      <c r="D376" s="13"/>
      <c r="E376" s="13"/>
      <c r="F376" s="13"/>
      <c r="G376" s="13"/>
      <c r="H376" s="13"/>
      <c r="I376" s="14"/>
      <c r="J376" s="13"/>
    </row>
    <row r="377" customFormat="false" ht="15" hidden="false" customHeight="false" outlineLevel="0" collapsed="false">
      <c r="A377" s="12" t="str">
        <f aca="false">IF(B377&lt;&gt;"","CS-"&amp;TEXT(374,"000"),"")</f>
        <v/>
      </c>
      <c r="B377" s="13"/>
      <c r="C377" s="13"/>
      <c r="D377" s="13"/>
      <c r="E377" s="13"/>
      <c r="F377" s="13"/>
      <c r="G377" s="13"/>
      <c r="H377" s="13"/>
      <c r="I377" s="14"/>
      <c r="J377" s="13"/>
    </row>
    <row r="378" customFormat="false" ht="15" hidden="false" customHeight="false" outlineLevel="0" collapsed="false">
      <c r="A378" s="12" t="str">
        <f aca="false">IF(B378&lt;&gt;"","CS-"&amp;TEXT(375,"000"),"")</f>
        <v/>
      </c>
      <c r="B378" s="13"/>
      <c r="C378" s="13"/>
      <c r="D378" s="13"/>
      <c r="E378" s="13"/>
      <c r="F378" s="13"/>
      <c r="G378" s="13"/>
      <c r="H378" s="13"/>
      <c r="I378" s="14"/>
      <c r="J378" s="13"/>
    </row>
    <row r="379" customFormat="false" ht="15" hidden="false" customHeight="false" outlineLevel="0" collapsed="false">
      <c r="A379" s="12" t="str">
        <f aca="false">IF(B379&lt;&gt;"","CS-"&amp;TEXT(376,"000"),"")</f>
        <v/>
      </c>
      <c r="B379" s="13"/>
      <c r="C379" s="13"/>
      <c r="D379" s="13"/>
      <c r="E379" s="13"/>
      <c r="F379" s="13"/>
      <c r="G379" s="13"/>
      <c r="H379" s="13"/>
      <c r="I379" s="14"/>
      <c r="J379" s="13"/>
    </row>
    <row r="380" customFormat="false" ht="15" hidden="false" customHeight="false" outlineLevel="0" collapsed="false">
      <c r="A380" s="12" t="str">
        <f aca="false">IF(B380&lt;&gt;"","CS-"&amp;TEXT(377,"000"),"")</f>
        <v/>
      </c>
      <c r="B380" s="13"/>
      <c r="C380" s="13"/>
      <c r="D380" s="13"/>
      <c r="E380" s="13"/>
      <c r="F380" s="13"/>
      <c r="G380" s="13"/>
      <c r="H380" s="13"/>
      <c r="I380" s="14"/>
      <c r="J380" s="13"/>
    </row>
    <row r="381" customFormat="false" ht="15" hidden="false" customHeight="false" outlineLevel="0" collapsed="false">
      <c r="A381" s="12" t="str">
        <f aca="false">IF(B381&lt;&gt;"","CS-"&amp;TEXT(378,"000"),"")</f>
        <v/>
      </c>
      <c r="B381" s="13"/>
      <c r="C381" s="13"/>
      <c r="D381" s="13"/>
      <c r="E381" s="13"/>
      <c r="F381" s="13"/>
      <c r="G381" s="13"/>
      <c r="H381" s="13"/>
      <c r="I381" s="14"/>
      <c r="J381" s="13"/>
    </row>
    <row r="382" customFormat="false" ht="15" hidden="false" customHeight="false" outlineLevel="0" collapsed="false">
      <c r="A382" s="12" t="str">
        <f aca="false">IF(B382&lt;&gt;"","CS-"&amp;TEXT(379,"000"),"")</f>
        <v/>
      </c>
      <c r="B382" s="13"/>
      <c r="C382" s="13"/>
      <c r="D382" s="13"/>
      <c r="E382" s="13"/>
      <c r="F382" s="13"/>
      <c r="G382" s="13"/>
      <c r="H382" s="13"/>
      <c r="I382" s="14"/>
      <c r="J382" s="13"/>
    </row>
    <row r="383" customFormat="false" ht="15" hidden="false" customHeight="false" outlineLevel="0" collapsed="false">
      <c r="A383" s="12" t="str">
        <f aca="false">IF(B383&lt;&gt;"","CS-"&amp;TEXT(380,"000"),"")</f>
        <v/>
      </c>
      <c r="B383" s="13"/>
      <c r="C383" s="13"/>
      <c r="D383" s="13"/>
      <c r="E383" s="13"/>
      <c r="F383" s="13"/>
      <c r="G383" s="13"/>
      <c r="H383" s="13"/>
      <c r="I383" s="14"/>
      <c r="J383" s="13"/>
    </row>
    <row r="384" customFormat="false" ht="15" hidden="false" customHeight="false" outlineLevel="0" collapsed="false">
      <c r="A384" s="12" t="str">
        <f aca="false">IF(B384&lt;&gt;"","CS-"&amp;TEXT(381,"000"),"")</f>
        <v/>
      </c>
      <c r="B384" s="13"/>
      <c r="C384" s="13"/>
      <c r="D384" s="13"/>
      <c r="E384" s="13"/>
      <c r="F384" s="13"/>
      <c r="G384" s="13"/>
      <c r="H384" s="13"/>
      <c r="I384" s="14"/>
      <c r="J384" s="13"/>
    </row>
    <row r="385" customFormat="false" ht="15" hidden="false" customHeight="false" outlineLevel="0" collapsed="false">
      <c r="A385" s="12" t="str">
        <f aca="false">IF(B385&lt;&gt;"","CS-"&amp;TEXT(382,"000"),"")</f>
        <v/>
      </c>
      <c r="B385" s="13"/>
      <c r="C385" s="13"/>
      <c r="D385" s="13"/>
      <c r="E385" s="13"/>
      <c r="F385" s="13"/>
      <c r="G385" s="13"/>
      <c r="H385" s="13"/>
      <c r="I385" s="14"/>
      <c r="J385" s="13"/>
    </row>
    <row r="386" customFormat="false" ht="15" hidden="false" customHeight="false" outlineLevel="0" collapsed="false">
      <c r="A386" s="12" t="str">
        <f aca="false">IF(B386&lt;&gt;"","CS-"&amp;TEXT(383,"000"),"")</f>
        <v/>
      </c>
      <c r="B386" s="13"/>
      <c r="C386" s="13"/>
      <c r="D386" s="13"/>
      <c r="E386" s="13"/>
      <c r="F386" s="13"/>
      <c r="G386" s="13"/>
      <c r="H386" s="13"/>
      <c r="I386" s="14"/>
      <c r="J386" s="13"/>
    </row>
    <row r="387" customFormat="false" ht="15" hidden="false" customHeight="false" outlineLevel="0" collapsed="false">
      <c r="A387" s="12" t="str">
        <f aca="false">IF(B387&lt;&gt;"","CS-"&amp;TEXT(384,"000"),"")</f>
        <v/>
      </c>
      <c r="B387" s="13"/>
      <c r="C387" s="13"/>
      <c r="D387" s="13"/>
      <c r="E387" s="13"/>
      <c r="F387" s="13"/>
      <c r="G387" s="13"/>
      <c r="H387" s="13"/>
      <c r="I387" s="14"/>
      <c r="J387" s="13"/>
    </row>
    <row r="388" customFormat="false" ht="15" hidden="false" customHeight="false" outlineLevel="0" collapsed="false">
      <c r="A388" s="12" t="str">
        <f aca="false">IF(B388&lt;&gt;"","CS-"&amp;TEXT(385,"000"),"")</f>
        <v/>
      </c>
      <c r="B388" s="13"/>
      <c r="C388" s="13"/>
      <c r="D388" s="13"/>
      <c r="E388" s="13"/>
      <c r="F388" s="13"/>
      <c r="G388" s="13"/>
      <c r="H388" s="13"/>
      <c r="I388" s="14"/>
      <c r="J388" s="13"/>
    </row>
    <row r="389" customFormat="false" ht="15" hidden="false" customHeight="false" outlineLevel="0" collapsed="false">
      <c r="A389" s="12" t="str">
        <f aca="false">IF(B389&lt;&gt;"","CS-"&amp;TEXT(386,"000"),"")</f>
        <v/>
      </c>
      <c r="B389" s="13"/>
      <c r="C389" s="13"/>
      <c r="D389" s="13"/>
      <c r="E389" s="13"/>
      <c r="F389" s="13"/>
      <c r="G389" s="13"/>
      <c r="H389" s="13"/>
      <c r="I389" s="14"/>
      <c r="J389" s="13"/>
    </row>
    <row r="390" customFormat="false" ht="15" hidden="false" customHeight="false" outlineLevel="0" collapsed="false">
      <c r="A390" s="12" t="str">
        <f aca="false">IF(B390&lt;&gt;"","CS-"&amp;TEXT(387,"000"),"")</f>
        <v/>
      </c>
      <c r="B390" s="13"/>
      <c r="C390" s="13"/>
      <c r="D390" s="13"/>
      <c r="E390" s="13"/>
      <c r="F390" s="13"/>
      <c r="G390" s="13"/>
      <c r="H390" s="13"/>
      <c r="I390" s="14"/>
      <c r="J390" s="13"/>
    </row>
    <row r="391" customFormat="false" ht="15" hidden="false" customHeight="false" outlineLevel="0" collapsed="false">
      <c r="A391" s="12" t="str">
        <f aca="false">IF(B391&lt;&gt;"","CS-"&amp;TEXT(388,"000"),"")</f>
        <v/>
      </c>
      <c r="B391" s="13"/>
      <c r="C391" s="13"/>
      <c r="D391" s="13"/>
      <c r="E391" s="13"/>
      <c r="F391" s="13"/>
      <c r="G391" s="13"/>
      <c r="H391" s="13"/>
      <c r="I391" s="14"/>
      <c r="J391" s="13"/>
    </row>
    <row r="392" customFormat="false" ht="15" hidden="false" customHeight="false" outlineLevel="0" collapsed="false">
      <c r="A392" s="12" t="str">
        <f aca="false">IF(B392&lt;&gt;"","CS-"&amp;TEXT(389,"000"),"")</f>
        <v/>
      </c>
      <c r="B392" s="13"/>
      <c r="C392" s="13"/>
      <c r="D392" s="13"/>
      <c r="E392" s="13"/>
      <c r="F392" s="13"/>
      <c r="G392" s="13"/>
      <c r="H392" s="13"/>
      <c r="I392" s="14"/>
      <c r="J392" s="13"/>
    </row>
    <row r="393" customFormat="false" ht="15" hidden="false" customHeight="false" outlineLevel="0" collapsed="false">
      <c r="A393" s="12" t="str">
        <f aca="false">IF(B393&lt;&gt;"","CS-"&amp;TEXT(390,"000"),"")</f>
        <v/>
      </c>
      <c r="B393" s="13"/>
      <c r="C393" s="13"/>
      <c r="D393" s="13"/>
      <c r="E393" s="13"/>
      <c r="F393" s="13"/>
      <c r="G393" s="13"/>
      <c r="H393" s="13"/>
      <c r="I393" s="14"/>
      <c r="J393" s="13"/>
    </row>
    <row r="394" customFormat="false" ht="15" hidden="false" customHeight="false" outlineLevel="0" collapsed="false">
      <c r="A394" s="12" t="str">
        <f aca="false">IF(B394&lt;&gt;"","CS-"&amp;TEXT(391,"000"),"")</f>
        <v/>
      </c>
      <c r="B394" s="13"/>
      <c r="C394" s="13"/>
      <c r="D394" s="13"/>
      <c r="E394" s="13"/>
      <c r="F394" s="13"/>
      <c r="G394" s="13"/>
      <c r="H394" s="13"/>
      <c r="I394" s="14"/>
      <c r="J394" s="13"/>
    </row>
    <row r="395" customFormat="false" ht="15" hidden="false" customHeight="false" outlineLevel="0" collapsed="false">
      <c r="A395" s="12" t="str">
        <f aca="false">IF(B395&lt;&gt;"","CS-"&amp;TEXT(392,"000"),"")</f>
        <v/>
      </c>
      <c r="B395" s="13"/>
      <c r="C395" s="13"/>
      <c r="D395" s="13"/>
      <c r="E395" s="13"/>
      <c r="F395" s="13"/>
      <c r="G395" s="13"/>
      <c r="H395" s="13"/>
      <c r="I395" s="14"/>
      <c r="J395" s="13"/>
    </row>
    <row r="396" customFormat="false" ht="15" hidden="false" customHeight="false" outlineLevel="0" collapsed="false">
      <c r="A396" s="12" t="str">
        <f aca="false">IF(B396&lt;&gt;"","CS-"&amp;TEXT(393,"000"),"")</f>
        <v/>
      </c>
      <c r="B396" s="13"/>
      <c r="C396" s="13"/>
      <c r="D396" s="13"/>
      <c r="E396" s="13"/>
      <c r="F396" s="13"/>
      <c r="G396" s="13"/>
      <c r="H396" s="13"/>
      <c r="I396" s="14"/>
      <c r="J396" s="13"/>
    </row>
    <row r="397" customFormat="false" ht="15" hidden="false" customHeight="false" outlineLevel="0" collapsed="false">
      <c r="A397" s="12" t="str">
        <f aca="false">IF(B397&lt;&gt;"","CS-"&amp;TEXT(394,"000"),"")</f>
        <v/>
      </c>
      <c r="B397" s="13"/>
      <c r="C397" s="13"/>
      <c r="D397" s="13"/>
      <c r="E397" s="13"/>
      <c r="F397" s="13"/>
      <c r="G397" s="13"/>
      <c r="H397" s="13"/>
      <c r="I397" s="14"/>
      <c r="J397" s="13"/>
    </row>
    <row r="398" customFormat="false" ht="15" hidden="false" customHeight="false" outlineLevel="0" collapsed="false">
      <c r="A398" s="12" t="str">
        <f aca="false">IF(B398&lt;&gt;"","CS-"&amp;TEXT(395,"000"),"")</f>
        <v/>
      </c>
      <c r="B398" s="13"/>
      <c r="C398" s="13"/>
      <c r="D398" s="13"/>
      <c r="E398" s="13"/>
      <c r="F398" s="13"/>
      <c r="G398" s="13"/>
      <c r="H398" s="13"/>
      <c r="I398" s="14"/>
      <c r="J398" s="13"/>
    </row>
    <row r="399" customFormat="false" ht="15" hidden="false" customHeight="false" outlineLevel="0" collapsed="false">
      <c r="A399" s="12" t="str">
        <f aca="false">IF(B399&lt;&gt;"","CS-"&amp;TEXT(396,"000"),"")</f>
        <v/>
      </c>
      <c r="B399" s="13"/>
      <c r="C399" s="13"/>
      <c r="D399" s="13"/>
      <c r="E399" s="13"/>
      <c r="F399" s="13"/>
      <c r="G399" s="13"/>
      <c r="H399" s="13"/>
      <c r="I399" s="14"/>
      <c r="J399" s="13"/>
    </row>
    <row r="400" customFormat="false" ht="15" hidden="false" customHeight="false" outlineLevel="0" collapsed="false">
      <c r="A400" s="12" t="str">
        <f aca="false">IF(B400&lt;&gt;"","CS-"&amp;TEXT(397,"000"),"")</f>
        <v/>
      </c>
      <c r="B400" s="13"/>
      <c r="C400" s="13"/>
      <c r="D400" s="13"/>
      <c r="E400" s="13"/>
      <c r="F400" s="13"/>
      <c r="G400" s="13"/>
      <c r="H400" s="13"/>
      <c r="I400" s="14"/>
      <c r="J400" s="13"/>
    </row>
    <row r="401" customFormat="false" ht="15" hidden="false" customHeight="false" outlineLevel="0" collapsed="false">
      <c r="A401" s="12" t="str">
        <f aca="false">IF(B401&lt;&gt;"","CS-"&amp;TEXT(398,"000"),"")</f>
        <v/>
      </c>
      <c r="B401" s="13"/>
      <c r="C401" s="13"/>
      <c r="D401" s="13"/>
      <c r="E401" s="13"/>
      <c r="F401" s="13"/>
      <c r="G401" s="13"/>
      <c r="H401" s="13"/>
      <c r="I401" s="14"/>
      <c r="J401" s="13"/>
    </row>
    <row r="402" customFormat="false" ht="15" hidden="false" customHeight="false" outlineLevel="0" collapsed="false">
      <c r="A402" s="12" t="str">
        <f aca="false">IF(B402&lt;&gt;"","CS-"&amp;TEXT(399,"000"),"")</f>
        <v/>
      </c>
      <c r="B402" s="13"/>
      <c r="C402" s="13"/>
      <c r="D402" s="13"/>
      <c r="E402" s="13"/>
      <c r="F402" s="13"/>
      <c r="G402" s="13"/>
      <c r="H402" s="13"/>
      <c r="I402" s="14"/>
      <c r="J402" s="13"/>
    </row>
    <row r="403" customFormat="false" ht="15" hidden="false" customHeight="false" outlineLevel="0" collapsed="false">
      <c r="A403" s="12" t="str">
        <f aca="false">IF(B403&lt;&gt;"","CS-"&amp;TEXT(400,"000"),"")</f>
        <v/>
      </c>
      <c r="B403" s="13"/>
      <c r="C403" s="13"/>
      <c r="D403" s="13"/>
      <c r="E403" s="13"/>
      <c r="F403" s="13"/>
      <c r="G403" s="13"/>
      <c r="H403" s="13"/>
      <c r="I403" s="14"/>
      <c r="J403" s="13"/>
    </row>
    <row r="404" customFormat="false" ht="15" hidden="false" customHeight="false" outlineLevel="0" collapsed="false">
      <c r="A404" s="12" t="str">
        <f aca="false">IF(B404&lt;&gt;"","CS-"&amp;TEXT(401,"000"),"")</f>
        <v/>
      </c>
      <c r="B404" s="13"/>
      <c r="C404" s="13"/>
      <c r="D404" s="13"/>
      <c r="E404" s="13"/>
      <c r="F404" s="13"/>
      <c r="G404" s="13"/>
      <c r="H404" s="13"/>
      <c r="I404" s="14"/>
      <c r="J404" s="13"/>
    </row>
    <row r="405" customFormat="false" ht="15" hidden="false" customHeight="false" outlineLevel="0" collapsed="false">
      <c r="A405" s="12" t="str">
        <f aca="false">IF(B405&lt;&gt;"","CS-"&amp;TEXT(402,"000"),"")</f>
        <v/>
      </c>
      <c r="B405" s="13"/>
      <c r="C405" s="13"/>
      <c r="D405" s="13"/>
      <c r="E405" s="13"/>
      <c r="F405" s="13"/>
      <c r="G405" s="13"/>
      <c r="H405" s="13"/>
      <c r="I405" s="14"/>
      <c r="J405" s="13"/>
    </row>
    <row r="406" customFormat="false" ht="15" hidden="false" customHeight="false" outlineLevel="0" collapsed="false">
      <c r="A406" s="12" t="str">
        <f aca="false">IF(B406&lt;&gt;"","CS-"&amp;TEXT(403,"000"),"")</f>
        <v/>
      </c>
      <c r="B406" s="13"/>
      <c r="C406" s="13"/>
      <c r="D406" s="13"/>
      <c r="E406" s="13"/>
      <c r="F406" s="13"/>
      <c r="G406" s="13"/>
      <c r="H406" s="13"/>
      <c r="I406" s="14"/>
      <c r="J406" s="13"/>
    </row>
    <row r="407" customFormat="false" ht="15" hidden="false" customHeight="false" outlineLevel="0" collapsed="false">
      <c r="A407" s="12" t="str">
        <f aca="false">IF(B407&lt;&gt;"","CS-"&amp;TEXT(404,"000"),"")</f>
        <v/>
      </c>
      <c r="B407" s="13"/>
      <c r="C407" s="13"/>
      <c r="D407" s="13"/>
      <c r="E407" s="13"/>
      <c r="F407" s="13"/>
      <c r="G407" s="13"/>
      <c r="H407" s="13"/>
      <c r="I407" s="14"/>
      <c r="J407" s="13"/>
    </row>
    <row r="408" customFormat="false" ht="15" hidden="false" customHeight="false" outlineLevel="0" collapsed="false">
      <c r="A408" s="12" t="str">
        <f aca="false">IF(B408&lt;&gt;"","CS-"&amp;TEXT(405,"000"),"")</f>
        <v/>
      </c>
      <c r="B408" s="13"/>
      <c r="C408" s="13"/>
      <c r="D408" s="13"/>
      <c r="E408" s="13"/>
      <c r="F408" s="13"/>
      <c r="G408" s="13"/>
      <c r="H408" s="13"/>
      <c r="I408" s="14"/>
      <c r="J408" s="13"/>
    </row>
    <row r="409" customFormat="false" ht="15" hidden="false" customHeight="false" outlineLevel="0" collapsed="false">
      <c r="A409" s="12" t="str">
        <f aca="false">IF(B409&lt;&gt;"","CS-"&amp;TEXT(406,"000"),"")</f>
        <v/>
      </c>
      <c r="B409" s="13"/>
      <c r="C409" s="13"/>
      <c r="D409" s="13"/>
      <c r="E409" s="13"/>
      <c r="F409" s="13"/>
      <c r="G409" s="13"/>
      <c r="H409" s="13"/>
      <c r="I409" s="14"/>
      <c r="J409" s="13"/>
    </row>
    <row r="410" customFormat="false" ht="15" hidden="false" customHeight="false" outlineLevel="0" collapsed="false">
      <c r="A410" s="12" t="str">
        <f aca="false">IF(B410&lt;&gt;"","CS-"&amp;TEXT(407,"000"),"")</f>
        <v/>
      </c>
      <c r="B410" s="13"/>
      <c r="C410" s="13"/>
      <c r="D410" s="13"/>
      <c r="E410" s="13"/>
      <c r="F410" s="13"/>
      <c r="G410" s="13"/>
      <c r="H410" s="13"/>
      <c r="I410" s="14"/>
      <c r="J410" s="13"/>
    </row>
    <row r="411" customFormat="false" ht="15" hidden="false" customHeight="false" outlineLevel="0" collapsed="false">
      <c r="A411" s="12" t="str">
        <f aca="false">IF(B411&lt;&gt;"","CS-"&amp;TEXT(408,"000"),"")</f>
        <v/>
      </c>
      <c r="B411" s="13"/>
      <c r="C411" s="13"/>
      <c r="D411" s="13"/>
      <c r="E411" s="13"/>
      <c r="F411" s="13"/>
      <c r="G411" s="13"/>
      <c r="H411" s="13"/>
      <c r="I411" s="14"/>
      <c r="J411" s="13"/>
    </row>
    <row r="412" customFormat="false" ht="15" hidden="false" customHeight="false" outlineLevel="0" collapsed="false">
      <c r="A412" s="12" t="str">
        <f aca="false">IF(B412&lt;&gt;"","CS-"&amp;TEXT(409,"000"),"")</f>
        <v/>
      </c>
      <c r="B412" s="13"/>
      <c r="C412" s="13"/>
      <c r="D412" s="13"/>
      <c r="E412" s="13"/>
      <c r="F412" s="13"/>
      <c r="G412" s="13"/>
      <c r="H412" s="13"/>
      <c r="I412" s="14"/>
      <c r="J412" s="13"/>
    </row>
    <row r="413" customFormat="false" ht="15" hidden="false" customHeight="false" outlineLevel="0" collapsed="false">
      <c r="A413" s="12" t="str">
        <f aca="false">IF(B413&lt;&gt;"","CS-"&amp;TEXT(410,"000"),"")</f>
        <v/>
      </c>
      <c r="B413" s="13"/>
      <c r="C413" s="13"/>
      <c r="D413" s="13"/>
      <c r="E413" s="13"/>
      <c r="F413" s="13"/>
      <c r="G413" s="13"/>
      <c r="H413" s="13"/>
      <c r="I413" s="14"/>
      <c r="J413" s="13"/>
    </row>
    <row r="414" customFormat="false" ht="15" hidden="false" customHeight="false" outlineLevel="0" collapsed="false">
      <c r="A414" s="12" t="str">
        <f aca="false">IF(B414&lt;&gt;"","CS-"&amp;TEXT(411,"000"),"")</f>
        <v/>
      </c>
      <c r="B414" s="13"/>
      <c r="C414" s="13"/>
      <c r="D414" s="13"/>
      <c r="E414" s="13"/>
      <c r="F414" s="13"/>
      <c r="G414" s="13"/>
      <c r="H414" s="13"/>
      <c r="I414" s="14"/>
      <c r="J414" s="13"/>
    </row>
    <row r="415" customFormat="false" ht="15" hidden="false" customHeight="false" outlineLevel="0" collapsed="false">
      <c r="A415" s="12" t="str">
        <f aca="false">IF(B415&lt;&gt;"","CS-"&amp;TEXT(412,"000"),"")</f>
        <v/>
      </c>
      <c r="B415" s="13"/>
      <c r="C415" s="13"/>
      <c r="D415" s="13"/>
      <c r="E415" s="13"/>
      <c r="F415" s="13"/>
      <c r="G415" s="13"/>
      <c r="H415" s="13"/>
      <c r="I415" s="14"/>
      <c r="J415" s="13"/>
    </row>
    <row r="416" customFormat="false" ht="15" hidden="false" customHeight="false" outlineLevel="0" collapsed="false">
      <c r="A416" s="12" t="str">
        <f aca="false">IF(B416&lt;&gt;"","CS-"&amp;TEXT(413,"000"),"")</f>
        <v/>
      </c>
      <c r="B416" s="13"/>
      <c r="C416" s="13"/>
      <c r="D416" s="13"/>
      <c r="E416" s="13"/>
      <c r="F416" s="13"/>
      <c r="G416" s="13"/>
      <c r="H416" s="13"/>
      <c r="I416" s="14"/>
      <c r="J416" s="13"/>
    </row>
    <row r="417" customFormat="false" ht="15" hidden="false" customHeight="false" outlineLevel="0" collapsed="false">
      <c r="A417" s="12" t="str">
        <f aca="false">IF(B417&lt;&gt;"","CS-"&amp;TEXT(414,"000"),"")</f>
        <v/>
      </c>
      <c r="B417" s="13"/>
      <c r="C417" s="13"/>
      <c r="D417" s="13"/>
      <c r="E417" s="13"/>
      <c r="F417" s="13"/>
      <c r="G417" s="13"/>
      <c r="H417" s="13"/>
      <c r="I417" s="14"/>
      <c r="J417" s="13"/>
    </row>
    <row r="418" customFormat="false" ht="15" hidden="false" customHeight="false" outlineLevel="0" collapsed="false">
      <c r="A418" s="12" t="str">
        <f aca="false">IF(B418&lt;&gt;"","CS-"&amp;TEXT(415,"000"),"")</f>
        <v/>
      </c>
      <c r="B418" s="13"/>
      <c r="C418" s="13"/>
      <c r="D418" s="13"/>
      <c r="E418" s="13"/>
      <c r="F418" s="13"/>
      <c r="G418" s="13"/>
      <c r="H418" s="13"/>
      <c r="I418" s="14"/>
      <c r="J418" s="13"/>
    </row>
    <row r="419" customFormat="false" ht="15" hidden="false" customHeight="false" outlineLevel="0" collapsed="false">
      <c r="A419" s="12" t="str">
        <f aca="false">IF(B419&lt;&gt;"","CS-"&amp;TEXT(416,"000"),"")</f>
        <v/>
      </c>
      <c r="B419" s="13"/>
      <c r="C419" s="13"/>
      <c r="D419" s="13"/>
      <c r="E419" s="13"/>
      <c r="F419" s="13"/>
      <c r="G419" s="13"/>
      <c r="H419" s="13"/>
      <c r="I419" s="14"/>
      <c r="J419" s="13"/>
    </row>
    <row r="420" customFormat="false" ht="15" hidden="false" customHeight="false" outlineLevel="0" collapsed="false">
      <c r="A420" s="12" t="str">
        <f aca="false">IF(B420&lt;&gt;"","CS-"&amp;TEXT(417,"000"),"")</f>
        <v/>
      </c>
      <c r="B420" s="13"/>
      <c r="C420" s="13"/>
      <c r="D420" s="13"/>
      <c r="E420" s="13"/>
      <c r="F420" s="13"/>
      <c r="G420" s="13"/>
      <c r="H420" s="13"/>
      <c r="I420" s="14"/>
      <c r="J420" s="13"/>
    </row>
    <row r="421" customFormat="false" ht="15" hidden="false" customHeight="false" outlineLevel="0" collapsed="false">
      <c r="A421" s="12" t="str">
        <f aca="false">IF(B421&lt;&gt;"","CS-"&amp;TEXT(418,"000"),"")</f>
        <v/>
      </c>
      <c r="B421" s="13"/>
      <c r="C421" s="13"/>
      <c r="D421" s="13"/>
      <c r="E421" s="13"/>
      <c r="F421" s="13"/>
      <c r="G421" s="13"/>
      <c r="H421" s="13"/>
      <c r="I421" s="14"/>
      <c r="J421" s="13"/>
    </row>
    <row r="422" customFormat="false" ht="15" hidden="false" customHeight="false" outlineLevel="0" collapsed="false">
      <c r="A422" s="12" t="str">
        <f aca="false">IF(B422&lt;&gt;"","CS-"&amp;TEXT(419,"000"),"")</f>
        <v/>
      </c>
      <c r="B422" s="13"/>
      <c r="C422" s="13"/>
      <c r="D422" s="13"/>
      <c r="E422" s="13"/>
      <c r="F422" s="13"/>
      <c r="G422" s="13"/>
      <c r="H422" s="13"/>
      <c r="I422" s="14"/>
      <c r="J422" s="13"/>
    </row>
    <row r="423" customFormat="false" ht="15" hidden="false" customHeight="false" outlineLevel="0" collapsed="false">
      <c r="A423" s="12" t="str">
        <f aca="false">IF(B423&lt;&gt;"","CS-"&amp;TEXT(420,"000"),"")</f>
        <v/>
      </c>
      <c r="B423" s="13"/>
      <c r="C423" s="13"/>
      <c r="D423" s="13"/>
      <c r="E423" s="13"/>
      <c r="F423" s="13"/>
      <c r="G423" s="13"/>
      <c r="H423" s="13"/>
      <c r="I423" s="14"/>
      <c r="J423" s="13"/>
    </row>
    <row r="424" customFormat="false" ht="15" hidden="false" customHeight="false" outlineLevel="0" collapsed="false">
      <c r="A424" s="12" t="str">
        <f aca="false">IF(B424&lt;&gt;"","CS-"&amp;TEXT(421,"000"),"")</f>
        <v/>
      </c>
      <c r="B424" s="13"/>
      <c r="C424" s="13"/>
      <c r="D424" s="13"/>
      <c r="E424" s="13"/>
      <c r="F424" s="13"/>
      <c r="G424" s="13"/>
      <c r="H424" s="13"/>
      <c r="I424" s="14"/>
      <c r="J424" s="13"/>
    </row>
    <row r="425" customFormat="false" ht="15" hidden="false" customHeight="false" outlineLevel="0" collapsed="false">
      <c r="A425" s="12" t="str">
        <f aca="false">IF(B425&lt;&gt;"","CS-"&amp;TEXT(422,"000"),"")</f>
        <v/>
      </c>
      <c r="B425" s="13"/>
      <c r="C425" s="13"/>
      <c r="D425" s="13"/>
      <c r="E425" s="13"/>
      <c r="F425" s="13"/>
      <c r="G425" s="13"/>
      <c r="H425" s="13"/>
      <c r="I425" s="14"/>
      <c r="J425" s="13"/>
    </row>
    <row r="426" customFormat="false" ht="15" hidden="false" customHeight="false" outlineLevel="0" collapsed="false">
      <c r="A426" s="12" t="str">
        <f aca="false">IF(B426&lt;&gt;"","CS-"&amp;TEXT(423,"000"),"")</f>
        <v/>
      </c>
      <c r="B426" s="13"/>
      <c r="C426" s="13"/>
      <c r="D426" s="13"/>
      <c r="E426" s="13"/>
      <c r="F426" s="13"/>
      <c r="G426" s="13"/>
      <c r="H426" s="13"/>
      <c r="I426" s="14"/>
      <c r="J426" s="13"/>
    </row>
    <row r="427" customFormat="false" ht="15" hidden="false" customHeight="false" outlineLevel="0" collapsed="false">
      <c r="A427" s="12" t="str">
        <f aca="false">IF(B427&lt;&gt;"","CS-"&amp;TEXT(424,"000"),"")</f>
        <v/>
      </c>
      <c r="B427" s="13"/>
      <c r="C427" s="13"/>
      <c r="D427" s="13"/>
      <c r="E427" s="13"/>
      <c r="F427" s="13"/>
      <c r="G427" s="13"/>
      <c r="H427" s="13"/>
      <c r="I427" s="14"/>
      <c r="J427" s="13"/>
    </row>
    <row r="428" customFormat="false" ht="15" hidden="false" customHeight="false" outlineLevel="0" collapsed="false">
      <c r="A428" s="12" t="str">
        <f aca="false">IF(B428&lt;&gt;"","CS-"&amp;TEXT(425,"000"),"")</f>
        <v/>
      </c>
      <c r="B428" s="13"/>
      <c r="C428" s="13"/>
      <c r="D428" s="13"/>
      <c r="E428" s="13"/>
      <c r="F428" s="13"/>
      <c r="G428" s="13"/>
      <c r="H428" s="13"/>
      <c r="I428" s="14"/>
      <c r="J428" s="13"/>
    </row>
    <row r="429" customFormat="false" ht="15" hidden="false" customHeight="false" outlineLevel="0" collapsed="false">
      <c r="A429" s="12" t="str">
        <f aca="false">IF(B429&lt;&gt;"","CS-"&amp;TEXT(426,"000"),"")</f>
        <v/>
      </c>
      <c r="B429" s="13"/>
      <c r="C429" s="13"/>
      <c r="D429" s="13"/>
      <c r="E429" s="13"/>
      <c r="F429" s="13"/>
      <c r="G429" s="13"/>
      <c r="H429" s="13"/>
      <c r="I429" s="14"/>
      <c r="J429" s="13"/>
    </row>
    <row r="430" customFormat="false" ht="15" hidden="false" customHeight="false" outlineLevel="0" collapsed="false">
      <c r="A430" s="12" t="str">
        <f aca="false">IF(B430&lt;&gt;"","CS-"&amp;TEXT(427,"000"),"")</f>
        <v/>
      </c>
      <c r="B430" s="13"/>
      <c r="C430" s="13"/>
      <c r="D430" s="13"/>
      <c r="E430" s="13"/>
      <c r="F430" s="13"/>
      <c r="G430" s="13"/>
      <c r="H430" s="13"/>
      <c r="I430" s="14"/>
      <c r="J430" s="13"/>
    </row>
    <row r="431" customFormat="false" ht="15" hidden="false" customHeight="false" outlineLevel="0" collapsed="false">
      <c r="A431" s="12" t="str">
        <f aca="false">IF(B431&lt;&gt;"","CS-"&amp;TEXT(428,"000"),"")</f>
        <v/>
      </c>
      <c r="B431" s="13"/>
      <c r="C431" s="13"/>
      <c r="D431" s="13"/>
      <c r="E431" s="13"/>
      <c r="F431" s="13"/>
      <c r="G431" s="13"/>
      <c r="H431" s="13"/>
      <c r="I431" s="14"/>
      <c r="J431" s="13"/>
    </row>
    <row r="432" customFormat="false" ht="15" hidden="false" customHeight="false" outlineLevel="0" collapsed="false">
      <c r="A432" s="12" t="str">
        <f aca="false">IF(B432&lt;&gt;"","CS-"&amp;TEXT(429,"000"),"")</f>
        <v/>
      </c>
      <c r="B432" s="13"/>
      <c r="C432" s="13"/>
      <c r="D432" s="13"/>
      <c r="E432" s="13"/>
      <c r="F432" s="13"/>
      <c r="G432" s="13"/>
      <c r="H432" s="13"/>
      <c r="I432" s="14"/>
      <c r="J432" s="13"/>
    </row>
    <row r="433" customFormat="false" ht="15" hidden="false" customHeight="false" outlineLevel="0" collapsed="false">
      <c r="A433" s="12" t="str">
        <f aca="false">IF(B433&lt;&gt;"","CS-"&amp;TEXT(430,"000"),"")</f>
        <v/>
      </c>
      <c r="B433" s="13"/>
      <c r="C433" s="13"/>
      <c r="D433" s="13"/>
      <c r="E433" s="13"/>
      <c r="F433" s="13"/>
      <c r="G433" s="13"/>
      <c r="H433" s="13"/>
      <c r="I433" s="14"/>
      <c r="J433" s="13"/>
    </row>
    <row r="434" customFormat="false" ht="15" hidden="false" customHeight="false" outlineLevel="0" collapsed="false">
      <c r="A434" s="12" t="str">
        <f aca="false">IF(B434&lt;&gt;"","CS-"&amp;TEXT(431,"000"),"")</f>
        <v/>
      </c>
      <c r="B434" s="13"/>
      <c r="C434" s="13"/>
      <c r="D434" s="13"/>
      <c r="E434" s="13"/>
      <c r="F434" s="13"/>
      <c r="G434" s="13"/>
      <c r="H434" s="13"/>
      <c r="I434" s="14"/>
      <c r="J434" s="13"/>
    </row>
    <row r="435" customFormat="false" ht="15" hidden="false" customHeight="false" outlineLevel="0" collapsed="false">
      <c r="A435" s="12" t="str">
        <f aca="false">IF(B435&lt;&gt;"","CS-"&amp;TEXT(432,"000"),"")</f>
        <v/>
      </c>
      <c r="B435" s="13"/>
      <c r="C435" s="13"/>
      <c r="D435" s="13"/>
      <c r="E435" s="13"/>
      <c r="F435" s="13"/>
      <c r="G435" s="13"/>
      <c r="H435" s="13"/>
      <c r="I435" s="14"/>
      <c r="J435" s="13"/>
    </row>
    <row r="436" customFormat="false" ht="15" hidden="false" customHeight="false" outlineLevel="0" collapsed="false">
      <c r="A436" s="12" t="str">
        <f aca="false">IF(B436&lt;&gt;"","CS-"&amp;TEXT(433,"000"),"")</f>
        <v/>
      </c>
      <c r="B436" s="13"/>
      <c r="C436" s="13"/>
      <c r="D436" s="13"/>
      <c r="E436" s="13"/>
      <c r="F436" s="13"/>
      <c r="G436" s="13"/>
      <c r="H436" s="13"/>
      <c r="I436" s="14"/>
      <c r="J436" s="13"/>
    </row>
    <row r="437" customFormat="false" ht="15" hidden="false" customHeight="false" outlineLevel="0" collapsed="false">
      <c r="A437" s="12" t="str">
        <f aca="false">IF(B437&lt;&gt;"","CS-"&amp;TEXT(434,"000"),"")</f>
        <v/>
      </c>
      <c r="B437" s="13"/>
      <c r="C437" s="13"/>
      <c r="D437" s="13"/>
      <c r="E437" s="13"/>
      <c r="F437" s="13"/>
      <c r="G437" s="13"/>
      <c r="H437" s="13"/>
      <c r="I437" s="14"/>
      <c r="J437" s="13"/>
    </row>
    <row r="438" customFormat="false" ht="15" hidden="false" customHeight="false" outlineLevel="0" collapsed="false">
      <c r="A438" s="12" t="str">
        <f aca="false">IF(B438&lt;&gt;"","CS-"&amp;TEXT(435,"000"),"")</f>
        <v/>
      </c>
      <c r="B438" s="13"/>
      <c r="C438" s="13"/>
      <c r="D438" s="13"/>
      <c r="E438" s="13"/>
      <c r="F438" s="13"/>
      <c r="G438" s="13"/>
      <c r="H438" s="13"/>
      <c r="I438" s="14"/>
      <c r="J438" s="13"/>
    </row>
    <row r="439" customFormat="false" ht="15" hidden="false" customHeight="false" outlineLevel="0" collapsed="false">
      <c r="A439" s="12" t="str">
        <f aca="false">IF(B439&lt;&gt;"","CS-"&amp;TEXT(436,"000"),"")</f>
        <v/>
      </c>
      <c r="B439" s="13"/>
      <c r="C439" s="13"/>
      <c r="D439" s="13"/>
      <c r="E439" s="13"/>
      <c r="F439" s="13"/>
      <c r="G439" s="13"/>
      <c r="H439" s="13"/>
      <c r="I439" s="14"/>
      <c r="J439" s="13"/>
    </row>
    <row r="440" customFormat="false" ht="15" hidden="false" customHeight="false" outlineLevel="0" collapsed="false">
      <c r="A440" s="12" t="str">
        <f aca="false">IF(B440&lt;&gt;"","CS-"&amp;TEXT(437,"000"),"")</f>
        <v/>
      </c>
      <c r="B440" s="13"/>
      <c r="C440" s="13"/>
      <c r="D440" s="13"/>
      <c r="E440" s="13"/>
      <c r="F440" s="13"/>
      <c r="G440" s="13"/>
      <c r="H440" s="13"/>
      <c r="I440" s="14"/>
      <c r="J440" s="13"/>
    </row>
    <row r="441" customFormat="false" ht="15" hidden="false" customHeight="false" outlineLevel="0" collapsed="false">
      <c r="A441" s="12" t="str">
        <f aca="false">IF(B441&lt;&gt;"","CS-"&amp;TEXT(438,"000"),"")</f>
        <v/>
      </c>
      <c r="B441" s="13"/>
      <c r="C441" s="13"/>
      <c r="D441" s="13"/>
      <c r="E441" s="13"/>
      <c r="F441" s="13"/>
      <c r="G441" s="13"/>
      <c r="H441" s="13"/>
      <c r="I441" s="14"/>
      <c r="J441" s="13"/>
    </row>
    <row r="442" customFormat="false" ht="15" hidden="false" customHeight="false" outlineLevel="0" collapsed="false">
      <c r="A442" s="12" t="str">
        <f aca="false">IF(B442&lt;&gt;"","CS-"&amp;TEXT(439,"000"),"")</f>
        <v/>
      </c>
      <c r="B442" s="13"/>
      <c r="C442" s="13"/>
      <c r="D442" s="13"/>
      <c r="E442" s="13"/>
      <c r="F442" s="13"/>
      <c r="G442" s="13"/>
      <c r="H442" s="13"/>
      <c r="I442" s="14"/>
      <c r="J442" s="13"/>
    </row>
    <row r="443" customFormat="false" ht="15" hidden="false" customHeight="false" outlineLevel="0" collapsed="false">
      <c r="A443" s="12" t="str">
        <f aca="false">IF(B443&lt;&gt;"","CS-"&amp;TEXT(440,"000"),"")</f>
        <v/>
      </c>
      <c r="B443" s="13"/>
      <c r="C443" s="13"/>
      <c r="D443" s="13"/>
      <c r="E443" s="13"/>
      <c r="F443" s="13"/>
      <c r="G443" s="13"/>
      <c r="H443" s="13"/>
      <c r="I443" s="14"/>
      <c r="J443" s="13"/>
    </row>
    <row r="444" customFormat="false" ht="15" hidden="false" customHeight="false" outlineLevel="0" collapsed="false">
      <c r="A444" s="12" t="str">
        <f aca="false">IF(B444&lt;&gt;"","CS-"&amp;TEXT(441,"000"),"")</f>
        <v/>
      </c>
      <c r="B444" s="13"/>
      <c r="C444" s="13"/>
      <c r="D444" s="13"/>
      <c r="E444" s="13"/>
      <c r="F444" s="13"/>
      <c r="G444" s="13"/>
      <c r="H444" s="13"/>
      <c r="I444" s="14"/>
      <c r="J444" s="13"/>
    </row>
    <row r="445" customFormat="false" ht="15" hidden="false" customHeight="false" outlineLevel="0" collapsed="false">
      <c r="A445" s="12" t="str">
        <f aca="false">IF(B445&lt;&gt;"","CS-"&amp;TEXT(442,"000"),"")</f>
        <v/>
      </c>
      <c r="B445" s="13"/>
      <c r="C445" s="13"/>
      <c r="D445" s="13"/>
      <c r="E445" s="13"/>
      <c r="F445" s="13"/>
      <c r="G445" s="13"/>
      <c r="H445" s="13"/>
      <c r="I445" s="14"/>
      <c r="J445" s="13"/>
    </row>
    <row r="446" customFormat="false" ht="15" hidden="false" customHeight="false" outlineLevel="0" collapsed="false">
      <c r="A446" s="12" t="str">
        <f aca="false">IF(B446&lt;&gt;"","CS-"&amp;TEXT(443,"000"),"")</f>
        <v/>
      </c>
      <c r="B446" s="13"/>
      <c r="C446" s="13"/>
      <c r="D446" s="13"/>
      <c r="E446" s="13"/>
      <c r="F446" s="13"/>
      <c r="G446" s="13"/>
      <c r="H446" s="13"/>
      <c r="I446" s="14"/>
      <c r="J446" s="13"/>
    </row>
    <row r="447" customFormat="false" ht="15" hidden="false" customHeight="false" outlineLevel="0" collapsed="false">
      <c r="A447" s="12" t="str">
        <f aca="false">IF(B447&lt;&gt;"","CS-"&amp;TEXT(444,"000"),"")</f>
        <v/>
      </c>
      <c r="B447" s="13"/>
      <c r="C447" s="13"/>
      <c r="D447" s="13"/>
      <c r="E447" s="13"/>
      <c r="F447" s="13"/>
      <c r="G447" s="13"/>
      <c r="H447" s="13"/>
      <c r="I447" s="14"/>
      <c r="J447" s="13"/>
    </row>
    <row r="448" customFormat="false" ht="15" hidden="false" customHeight="false" outlineLevel="0" collapsed="false">
      <c r="A448" s="12" t="str">
        <f aca="false">IF(B448&lt;&gt;"","CS-"&amp;TEXT(445,"000"),"")</f>
        <v/>
      </c>
      <c r="B448" s="13"/>
      <c r="C448" s="13"/>
      <c r="D448" s="13"/>
      <c r="E448" s="13"/>
      <c r="F448" s="13"/>
      <c r="G448" s="13"/>
      <c r="H448" s="13"/>
      <c r="I448" s="14"/>
      <c r="J448" s="13"/>
    </row>
    <row r="449" customFormat="false" ht="15" hidden="false" customHeight="false" outlineLevel="0" collapsed="false">
      <c r="A449" s="12" t="str">
        <f aca="false">IF(B449&lt;&gt;"","CS-"&amp;TEXT(446,"000"),"")</f>
        <v/>
      </c>
      <c r="B449" s="13"/>
      <c r="C449" s="13"/>
      <c r="D449" s="13"/>
      <c r="E449" s="13"/>
      <c r="F449" s="13"/>
      <c r="G449" s="13"/>
      <c r="H449" s="13"/>
      <c r="I449" s="14"/>
      <c r="J449" s="13"/>
    </row>
    <row r="450" customFormat="false" ht="15" hidden="false" customHeight="false" outlineLevel="0" collapsed="false">
      <c r="A450" s="12" t="str">
        <f aca="false">IF(B450&lt;&gt;"","CS-"&amp;TEXT(447,"000"),"")</f>
        <v/>
      </c>
      <c r="B450" s="13"/>
      <c r="C450" s="13"/>
      <c r="D450" s="13"/>
      <c r="E450" s="13"/>
      <c r="F450" s="13"/>
      <c r="G450" s="13"/>
      <c r="H450" s="13"/>
      <c r="I450" s="14"/>
      <c r="J450" s="13"/>
    </row>
    <row r="451" customFormat="false" ht="15" hidden="false" customHeight="false" outlineLevel="0" collapsed="false">
      <c r="A451" s="12" t="str">
        <f aca="false">IF(B451&lt;&gt;"","CS-"&amp;TEXT(448,"000"),"")</f>
        <v/>
      </c>
      <c r="B451" s="13"/>
      <c r="C451" s="13"/>
      <c r="D451" s="13"/>
      <c r="E451" s="13"/>
      <c r="F451" s="13"/>
      <c r="G451" s="13"/>
      <c r="H451" s="13"/>
      <c r="I451" s="14"/>
      <c r="J451" s="13"/>
    </row>
    <row r="452" customFormat="false" ht="15" hidden="false" customHeight="false" outlineLevel="0" collapsed="false">
      <c r="A452" s="12" t="str">
        <f aca="false">IF(B452&lt;&gt;"","CS-"&amp;TEXT(449,"000"),"")</f>
        <v/>
      </c>
      <c r="B452" s="13"/>
      <c r="C452" s="13"/>
      <c r="D452" s="13"/>
      <c r="E452" s="13"/>
      <c r="F452" s="13"/>
      <c r="G452" s="13"/>
      <c r="H452" s="13"/>
      <c r="I452" s="14"/>
      <c r="J452" s="13"/>
    </row>
    <row r="453" customFormat="false" ht="15" hidden="false" customHeight="false" outlineLevel="0" collapsed="false">
      <c r="A453" s="12" t="str">
        <f aca="false">IF(B453&lt;&gt;"","CS-"&amp;TEXT(450,"000"),"")</f>
        <v/>
      </c>
      <c r="B453" s="13"/>
      <c r="C453" s="13"/>
      <c r="D453" s="13"/>
      <c r="E453" s="13"/>
      <c r="F453" s="13"/>
      <c r="G453" s="13"/>
      <c r="H453" s="13"/>
      <c r="I453" s="14"/>
      <c r="J453" s="13"/>
    </row>
    <row r="454" customFormat="false" ht="15" hidden="false" customHeight="false" outlineLevel="0" collapsed="false">
      <c r="A454" s="12" t="str">
        <f aca="false">IF(B454&lt;&gt;"","CS-"&amp;TEXT(451,"000"),"")</f>
        <v/>
      </c>
      <c r="B454" s="13"/>
      <c r="C454" s="13"/>
      <c r="D454" s="13"/>
      <c r="E454" s="13"/>
      <c r="F454" s="13"/>
      <c r="G454" s="13"/>
      <c r="H454" s="13"/>
      <c r="I454" s="14"/>
      <c r="J454" s="13"/>
    </row>
    <row r="455" customFormat="false" ht="15" hidden="false" customHeight="false" outlineLevel="0" collapsed="false">
      <c r="A455" s="12" t="str">
        <f aca="false">IF(B455&lt;&gt;"","CS-"&amp;TEXT(452,"000"),"")</f>
        <v/>
      </c>
      <c r="B455" s="13"/>
      <c r="C455" s="13"/>
      <c r="D455" s="13"/>
      <c r="E455" s="13"/>
      <c r="F455" s="13"/>
      <c r="G455" s="13"/>
      <c r="H455" s="13"/>
      <c r="I455" s="14"/>
      <c r="J455" s="13"/>
    </row>
    <row r="456" customFormat="false" ht="15" hidden="false" customHeight="false" outlineLevel="0" collapsed="false">
      <c r="A456" s="12" t="str">
        <f aca="false">IF(B456&lt;&gt;"","CS-"&amp;TEXT(453,"000"),"")</f>
        <v/>
      </c>
      <c r="B456" s="13"/>
      <c r="C456" s="13"/>
      <c r="D456" s="13"/>
      <c r="E456" s="13"/>
      <c r="F456" s="13"/>
      <c r="G456" s="13"/>
      <c r="H456" s="13"/>
      <c r="I456" s="14"/>
      <c r="J456" s="13"/>
    </row>
    <row r="457" customFormat="false" ht="15" hidden="false" customHeight="false" outlineLevel="0" collapsed="false">
      <c r="A457" s="12" t="str">
        <f aca="false">IF(B457&lt;&gt;"","CS-"&amp;TEXT(454,"000"),"")</f>
        <v/>
      </c>
      <c r="B457" s="13"/>
      <c r="C457" s="13"/>
      <c r="D457" s="13"/>
      <c r="E457" s="13"/>
      <c r="F457" s="13"/>
      <c r="G457" s="13"/>
      <c r="H457" s="13"/>
      <c r="I457" s="14"/>
      <c r="J457" s="13"/>
    </row>
    <row r="458" customFormat="false" ht="15" hidden="false" customHeight="false" outlineLevel="0" collapsed="false">
      <c r="A458" s="12" t="str">
        <f aca="false">IF(B458&lt;&gt;"","CS-"&amp;TEXT(455,"000"),"")</f>
        <v/>
      </c>
      <c r="B458" s="13"/>
      <c r="C458" s="13"/>
      <c r="D458" s="13"/>
      <c r="E458" s="13"/>
      <c r="F458" s="13"/>
      <c r="G458" s="13"/>
      <c r="H458" s="13"/>
      <c r="I458" s="14"/>
      <c r="J458" s="13"/>
    </row>
    <row r="459" customFormat="false" ht="15" hidden="false" customHeight="false" outlineLevel="0" collapsed="false">
      <c r="A459" s="12" t="str">
        <f aca="false">IF(B459&lt;&gt;"","CS-"&amp;TEXT(456,"000"),"")</f>
        <v/>
      </c>
      <c r="B459" s="13"/>
      <c r="C459" s="13"/>
      <c r="D459" s="13"/>
      <c r="E459" s="13"/>
      <c r="F459" s="13"/>
      <c r="G459" s="13"/>
      <c r="H459" s="13"/>
      <c r="I459" s="14"/>
      <c r="J459" s="13"/>
    </row>
    <row r="460" customFormat="false" ht="15" hidden="false" customHeight="false" outlineLevel="0" collapsed="false">
      <c r="A460" s="12" t="str">
        <f aca="false">IF(B460&lt;&gt;"","CS-"&amp;TEXT(457,"000"),"")</f>
        <v/>
      </c>
      <c r="B460" s="13"/>
      <c r="C460" s="13"/>
      <c r="D460" s="13"/>
      <c r="E460" s="13"/>
      <c r="F460" s="13"/>
      <c r="G460" s="13"/>
      <c r="H460" s="13"/>
      <c r="I460" s="14"/>
      <c r="J460" s="13"/>
    </row>
    <row r="461" customFormat="false" ht="15" hidden="false" customHeight="false" outlineLevel="0" collapsed="false">
      <c r="A461" s="12" t="str">
        <f aca="false">IF(B461&lt;&gt;"","CS-"&amp;TEXT(458,"000"),"")</f>
        <v/>
      </c>
      <c r="B461" s="13"/>
      <c r="C461" s="13"/>
      <c r="D461" s="13"/>
      <c r="E461" s="13"/>
      <c r="F461" s="13"/>
      <c r="G461" s="13"/>
      <c r="H461" s="13"/>
      <c r="I461" s="14"/>
      <c r="J461" s="13"/>
    </row>
    <row r="462" customFormat="false" ht="15" hidden="false" customHeight="false" outlineLevel="0" collapsed="false">
      <c r="A462" s="12" t="str">
        <f aca="false">IF(B462&lt;&gt;"","CS-"&amp;TEXT(459,"000"),"")</f>
        <v/>
      </c>
      <c r="B462" s="13"/>
      <c r="C462" s="13"/>
      <c r="D462" s="13"/>
      <c r="E462" s="13"/>
      <c r="F462" s="13"/>
      <c r="G462" s="13"/>
      <c r="H462" s="13"/>
      <c r="I462" s="14"/>
      <c r="J462" s="13"/>
    </row>
    <row r="463" customFormat="false" ht="15" hidden="false" customHeight="false" outlineLevel="0" collapsed="false">
      <c r="A463" s="12" t="str">
        <f aca="false">IF(B463&lt;&gt;"","CS-"&amp;TEXT(460,"000"),"")</f>
        <v/>
      </c>
      <c r="B463" s="13"/>
      <c r="C463" s="13"/>
      <c r="D463" s="13"/>
      <c r="E463" s="13"/>
      <c r="F463" s="13"/>
      <c r="G463" s="13"/>
      <c r="H463" s="13"/>
      <c r="I463" s="14"/>
      <c r="J463" s="13"/>
    </row>
    <row r="464" customFormat="false" ht="15" hidden="false" customHeight="false" outlineLevel="0" collapsed="false">
      <c r="A464" s="12" t="str">
        <f aca="false">IF(B464&lt;&gt;"","CS-"&amp;TEXT(461,"000"),"")</f>
        <v/>
      </c>
      <c r="B464" s="13"/>
      <c r="C464" s="13"/>
      <c r="D464" s="13"/>
      <c r="E464" s="13"/>
      <c r="F464" s="13"/>
      <c r="G464" s="13"/>
      <c r="H464" s="13"/>
      <c r="I464" s="14"/>
      <c r="J464" s="13"/>
    </row>
    <row r="465" customFormat="false" ht="15" hidden="false" customHeight="false" outlineLevel="0" collapsed="false">
      <c r="A465" s="12" t="str">
        <f aca="false">IF(B465&lt;&gt;"","CS-"&amp;TEXT(462,"000"),"")</f>
        <v/>
      </c>
      <c r="B465" s="13"/>
      <c r="C465" s="13"/>
      <c r="D465" s="13"/>
      <c r="E465" s="13"/>
      <c r="F465" s="13"/>
      <c r="G465" s="13"/>
      <c r="H465" s="13"/>
      <c r="I465" s="14"/>
      <c r="J465" s="13"/>
    </row>
    <row r="466" customFormat="false" ht="15" hidden="false" customHeight="false" outlineLevel="0" collapsed="false">
      <c r="A466" s="12" t="str">
        <f aca="false">IF(B466&lt;&gt;"","CS-"&amp;TEXT(463,"000"),"")</f>
        <v/>
      </c>
      <c r="B466" s="13"/>
      <c r="C466" s="13"/>
      <c r="D466" s="13"/>
      <c r="E466" s="13"/>
      <c r="F466" s="13"/>
      <c r="G466" s="13"/>
      <c r="H466" s="13"/>
      <c r="I466" s="14"/>
      <c r="J466" s="13"/>
    </row>
    <row r="467" customFormat="false" ht="15" hidden="false" customHeight="false" outlineLevel="0" collapsed="false">
      <c r="A467" s="12" t="str">
        <f aca="false">IF(B467&lt;&gt;"","CS-"&amp;TEXT(464,"000"),"")</f>
        <v/>
      </c>
      <c r="B467" s="13"/>
      <c r="C467" s="13"/>
      <c r="D467" s="13"/>
      <c r="E467" s="13"/>
      <c r="F467" s="13"/>
      <c r="G467" s="13"/>
      <c r="H467" s="13"/>
      <c r="I467" s="14"/>
      <c r="J467" s="13"/>
    </row>
    <row r="468" customFormat="false" ht="15" hidden="false" customHeight="false" outlineLevel="0" collapsed="false">
      <c r="A468" s="12" t="str">
        <f aca="false">IF(B468&lt;&gt;"","CS-"&amp;TEXT(465,"000"),"")</f>
        <v/>
      </c>
      <c r="B468" s="13"/>
      <c r="C468" s="13"/>
      <c r="D468" s="13"/>
      <c r="E468" s="13"/>
      <c r="F468" s="13"/>
      <c r="G468" s="13"/>
      <c r="H468" s="13"/>
      <c r="I468" s="14"/>
      <c r="J468" s="13"/>
    </row>
    <row r="469" customFormat="false" ht="15" hidden="false" customHeight="false" outlineLevel="0" collapsed="false">
      <c r="A469" s="12" t="str">
        <f aca="false">IF(B469&lt;&gt;"","CS-"&amp;TEXT(466,"000"),"")</f>
        <v/>
      </c>
      <c r="B469" s="13"/>
      <c r="C469" s="13"/>
      <c r="D469" s="13"/>
      <c r="E469" s="13"/>
      <c r="F469" s="13"/>
      <c r="G469" s="13"/>
      <c r="H469" s="13"/>
      <c r="I469" s="14"/>
      <c r="J469" s="13"/>
    </row>
    <row r="470" customFormat="false" ht="15" hidden="false" customHeight="false" outlineLevel="0" collapsed="false">
      <c r="A470" s="12" t="str">
        <f aca="false">IF(B470&lt;&gt;"","CS-"&amp;TEXT(467,"000"),"")</f>
        <v/>
      </c>
      <c r="B470" s="13"/>
      <c r="C470" s="13"/>
      <c r="D470" s="13"/>
      <c r="E470" s="13"/>
      <c r="F470" s="13"/>
      <c r="G470" s="13"/>
      <c r="H470" s="13"/>
      <c r="I470" s="14"/>
      <c r="J470" s="13"/>
    </row>
    <row r="471" customFormat="false" ht="15" hidden="false" customHeight="false" outlineLevel="0" collapsed="false">
      <c r="A471" s="12" t="str">
        <f aca="false">IF(B471&lt;&gt;"","CS-"&amp;TEXT(468,"000"),"")</f>
        <v/>
      </c>
      <c r="B471" s="13"/>
      <c r="C471" s="13"/>
      <c r="D471" s="13"/>
      <c r="E471" s="13"/>
      <c r="F471" s="13"/>
      <c r="G471" s="13"/>
      <c r="H471" s="13"/>
      <c r="I471" s="14"/>
      <c r="J471" s="13"/>
    </row>
    <row r="472" customFormat="false" ht="15" hidden="false" customHeight="false" outlineLevel="0" collapsed="false">
      <c r="A472" s="12" t="str">
        <f aca="false">IF(B472&lt;&gt;"","CS-"&amp;TEXT(469,"000"),"")</f>
        <v/>
      </c>
      <c r="B472" s="13"/>
      <c r="C472" s="13"/>
      <c r="D472" s="13"/>
      <c r="E472" s="13"/>
      <c r="F472" s="13"/>
      <c r="G472" s="13"/>
      <c r="H472" s="13"/>
      <c r="I472" s="14"/>
      <c r="J472" s="13"/>
    </row>
    <row r="473" customFormat="false" ht="15" hidden="false" customHeight="false" outlineLevel="0" collapsed="false">
      <c r="A473" s="12" t="str">
        <f aca="false">IF(B473&lt;&gt;"","CS-"&amp;TEXT(470,"000"),"")</f>
        <v/>
      </c>
      <c r="B473" s="13"/>
      <c r="C473" s="13"/>
      <c r="D473" s="13"/>
      <c r="E473" s="13"/>
      <c r="F473" s="13"/>
      <c r="G473" s="13"/>
      <c r="H473" s="13"/>
      <c r="I473" s="14"/>
      <c r="J473" s="13"/>
    </row>
    <row r="474" customFormat="false" ht="15" hidden="false" customHeight="false" outlineLevel="0" collapsed="false">
      <c r="A474" s="12" t="str">
        <f aca="false">IF(B474&lt;&gt;"","CS-"&amp;TEXT(471,"000"),"")</f>
        <v/>
      </c>
      <c r="B474" s="13"/>
      <c r="C474" s="13"/>
      <c r="D474" s="13"/>
      <c r="E474" s="13"/>
      <c r="F474" s="13"/>
      <c r="G474" s="13"/>
      <c r="H474" s="13"/>
      <c r="I474" s="14"/>
      <c r="J474" s="13"/>
    </row>
    <row r="475" customFormat="false" ht="15" hidden="false" customHeight="false" outlineLevel="0" collapsed="false">
      <c r="A475" s="12" t="str">
        <f aca="false">IF(B475&lt;&gt;"","CS-"&amp;TEXT(472,"000"),"")</f>
        <v/>
      </c>
      <c r="B475" s="13"/>
      <c r="C475" s="13"/>
      <c r="D475" s="13"/>
      <c r="E475" s="13"/>
      <c r="F475" s="13"/>
      <c r="G475" s="13"/>
      <c r="H475" s="13"/>
      <c r="I475" s="14"/>
      <c r="J475" s="13"/>
    </row>
    <row r="476" customFormat="false" ht="15" hidden="false" customHeight="false" outlineLevel="0" collapsed="false">
      <c r="A476" s="12" t="str">
        <f aca="false">IF(B476&lt;&gt;"","CS-"&amp;TEXT(473,"000"),"")</f>
        <v/>
      </c>
      <c r="B476" s="13"/>
      <c r="C476" s="13"/>
      <c r="D476" s="13"/>
      <c r="E476" s="13"/>
      <c r="F476" s="13"/>
      <c r="G476" s="13"/>
      <c r="H476" s="13"/>
      <c r="I476" s="14"/>
      <c r="J476" s="13"/>
    </row>
    <row r="477" customFormat="false" ht="15" hidden="false" customHeight="false" outlineLevel="0" collapsed="false">
      <c r="A477" s="12" t="str">
        <f aca="false">IF(B477&lt;&gt;"","CS-"&amp;TEXT(474,"000"),"")</f>
        <v/>
      </c>
      <c r="B477" s="13"/>
      <c r="C477" s="13"/>
      <c r="D477" s="13"/>
      <c r="E477" s="13"/>
      <c r="F477" s="13"/>
      <c r="G477" s="13"/>
      <c r="H477" s="13"/>
      <c r="I477" s="14"/>
      <c r="J477" s="13"/>
    </row>
    <row r="478" customFormat="false" ht="15" hidden="false" customHeight="false" outlineLevel="0" collapsed="false">
      <c r="A478" s="12" t="str">
        <f aca="false">IF(B478&lt;&gt;"","CS-"&amp;TEXT(475,"000"),"")</f>
        <v/>
      </c>
      <c r="B478" s="13"/>
      <c r="C478" s="13"/>
      <c r="D478" s="13"/>
      <c r="E478" s="13"/>
      <c r="F478" s="13"/>
      <c r="G478" s="13"/>
      <c r="H478" s="13"/>
      <c r="I478" s="14"/>
      <c r="J478" s="13"/>
    </row>
    <row r="479" customFormat="false" ht="15" hidden="false" customHeight="false" outlineLevel="0" collapsed="false">
      <c r="A479" s="12" t="str">
        <f aca="false">IF(B479&lt;&gt;"","CS-"&amp;TEXT(476,"000"),"")</f>
        <v/>
      </c>
      <c r="B479" s="13"/>
      <c r="C479" s="13"/>
      <c r="D479" s="13"/>
      <c r="E479" s="13"/>
      <c r="F479" s="13"/>
      <c r="G479" s="13"/>
      <c r="H479" s="13"/>
      <c r="I479" s="14"/>
      <c r="J479" s="13"/>
    </row>
    <row r="480" customFormat="false" ht="15" hidden="false" customHeight="false" outlineLevel="0" collapsed="false">
      <c r="A480" s="12" t="str">
        <f aca="false">IF(B480&lt;&gt;"","CS-"&amp;TEXT(477,"000"),"")</f>
        <v/>
      </c>
      <c r="B480" s="13"/>
      <c r="C480" s="13"/>
      <c r="D480" s="13"/>
      <c r="E480" s="13"/>
      <c r="F480" s="13"/>
      <c r="G480" s="13"/>
      <c r="H480" s="13"/>
      <c r="I480" s="14"/>
      <c r="J480" s="13"/>
    </row>
    <row r="481" customFormat="false" ht="15" hidden="false" customHeight="false" outlineLevel="0" collapsed="false">
      <c r="A481" s="12" t="str">
        <f aca="false">IF(B481&lt;&gt;"","CS-"&amp;TEXT(478,"000"),"")</f>
        <v/>
      </c>
      <c r="B481" s="13"/>
      <c r="C481" s="13"/>
      <c r="D481" s="13"/>
      <c r="E481" s="13"/>
      <c r="F481" s="13"/>
      <c r="G481" s="13"/>
      <c r="H481" s="13"/>
      <c r="I481" s="14"/>
      <c r="J481" s="13"/>
    </row>
    <row r="482" customFormat="false" ht="15" hidden="false" customHeight="false" outlineLevel="0" collapsed="false">
      <c r="A482" s="12" t="str">
        <f aca="false">IF(B482&lt;&gt;"","CS-"&amp;TEXT(479,"000"),"")</f>
        <v/>
      </c>
      <c r="B482" s="13"/>
      <c r="C482" s="13"/>
      <c r="D482" s="13"/>
      <c r="E482" s="13"/>
      <c r="F482" s="13"/>
      <c r="G482" s="13"/>
      <c r="H482" s="13"/>
      <c r="I482" s="14"/>
      <c r="J482" s="13"/>
    </row>
    <row r="483" customFormat="false" ht="15" hidden="false" customHeight="false" outlineLevel="0" collapsed="false">
      <c r="A483" s="12" t="str">
        <f aca="false">IF(B483&lt;&gt;"","CS-"&amp;TEXT(480,"000"),"")</f>
        <v/>
      </c>
      <c r="B483" s="13"/>
      <c r="C483" s="13"/>
      <c r="D483" s="13"/>
      <c r="E483" s="13"/>
      <c r="F483" s="13"/>
      <c r="G483" s="13"/>
      <c r="H483" s="13"/>
      <c r="I483" s="14"/>
      <c r="J483" s="13"/>
    </row>
    <row r="484" customFormat="false" ht="15" hidden="false" customHeight="false" outlineLevel="0" collapsed="false">
      <c r="A484" s="12" t="str">
        <f aca="false">IF(B484&lt;&gt;"","CS-"&amp;TEXT(481,"000"),"")</f>
        <v/>
      </c>
      <c r="B484" s="13"/>
      <c r="C484" s="13"/>
      <c r="D484" s="13"/>
      <c r="E484" s="13"/>
      <c r="F484" s="13"/>
      <c r="G484" s="13"/>
      <c r="H484" s="13"/>
      <c r="I484" s="14"/>
      <c r="J484" s="13"/>
    </row>
    <row r="485" customFormat="false" ht="15" hidden="false" customHeight="false" outlineLevel="0" collapsed="false">
      <c r="A485" s="12" t="str">
        <f aca="false">IF(B485&lt;&gt;"","CS-"&amp;TEXT(482,"000"),"")</f>
        <v/>
      </c>
      <c r="B485" s="13"/>
      <c r="C485" s="13"/>
      <c r="D485" s="13"/>
      <c r="E485" s="13"/>
      <c r="F485" s="13"/>
      <c r="G485" s="13"/>
      <c r="H485" s="13"/>
      <c r="I485" s="14"/>
      <c r="J485" s="13"/>
    </row>
    <row r="486" customFormat="false" ht="15" hidden="false" customHeight="false" outlineLevel="0" collapsed="false">
      <c r="A486" s="12" t="str">
        <f aca="false">IF(B486&lt;&gt;"","CS-"&amp;TEXT(483,"000"),"")</f>
        <v/>
      </c>
      <c r="B486" s="13"/>
      <c r="C486" s="13"/>
      <c r="D486" s="13"/>
      <c r="E486" s="13"/>
      <c r="F486" s="13"/>
      <c r="G486" s="13"/>
      <c r="H486" s="13"/>
      <c r="I486" s="14"/>
      <c r="J486" s="13"/>
    </row>
    <row r="487" customFormat="false" ht="15" hidden="false" customHeight="false" outlineLevel="0" collapsed="false">
      <c r="A487" s="12" t="str">
        <f aca="false">IF(B487&lt;&gt;"","CS-"&amp;TEXT(484,"000"),"")</f>
        <v/>
      </c>
      <c r="B487" s="13"/>
      <c r="C487" s="13"/>
      <c r="D487" s="13"/>
      <c r="E487" s="13"/>
      <c r="F487" s="13"/>
      <c r="G487" s="13"/>
      <c r="H487" s="13"/>
      <c r="I487" s="14"/>
      <c r="J487" s="13"/>
    </row>
    <row r="488" customFormat="false" ht="15" hidden="false" customHeight="false" outlineLevel="0" collapsed="false">
      <c r="A488" s="12" t="str">
        <f aca="false">IF(B488&lt;&gt;"","CS-"&amp;TEXT(485,"000"),"")</f>
        <v/>
      </c>
      <c r="B488" s="13"/>
      <c r="C488" s="13"/>
      <c r="D488" s="13"/>
      <c r="E488" s="13"/>
      <c r="F488" s="13"/>
      <c r="G488" s="13"/>
      <c r="H488" s="13"/>
      <c r="I488" s="14"/>
      <c r="J488" s="13"/>
    </row>
    <row r="489" customFormat="false" ht="15" hidden="false" customHeight="false" outlineLevel="0" collapsed="false">
      <c r="A489" s="12" t="str">
        <f aca="false">IF(B489&lt;&gt;"","CS-"&amp;TEXT(486,"000"),"")</f>
        <v/>
      </c>
      <c r="B489" s="13"/>
      <c r="C489" s="13"/>
      <c r="D489" s="13"/>
      <c r="E489" s="13"/>
      <c r="F489" s="13"/>
      <c r="G489" s="13"/>
      <c r="H489" s="13"/>
      <c r="I489" s="14"/>
      <c r="J489" s="13"/>
    </row>
    <row r="490" customFormat="false" ht="15" hidden="false" customHeight="false" outlineLevel="0" collapsed="false">
      <c r="A490" s="12" t="str">
        <f aca="false">IF(B490&lt;&gt;"","CS-"&amp;TEXT(487,"000"),"")</f>
        <v/>
      </c>
      <c r="B490" s="13"/>
      <c r="C490" s="13"/>
      <c r="D490" s="13"/>
      <c r="E490" s="13"/>
      <c r="F490" s="13"/>
      <c r="G490" s="13"/>
      <c r="H490" s="13"/>
      <c r="I490" s="14"/>
      <c r="J490" s="13"/>
    </row>
    <row r="491" customFormat="false" ht="15" hidden="false" customHeight="false" outlineLevel="0" collapsed="false">
      <c r="A491" s="12" t="str">
        <f aca="false">IF(B491&lt;&gt;"","CS-"&amp;TEXT(488,"000"),"")</f>
        <v/>
      </c>
      <c r="B491" s="13"/>
      <c r="C491" s="13"/>
      <c r="D491" s="13"/>
      <c r="E491" s="13"/>
      <c r="F491" s="13"/>
      <c r="G491" s="13"/>
      <c r="H491" s="13"/>
      <c r="I491" s="14"/>
      <c r="J491" s="13"/>
    </row>
    <row r="492" customFormat="false" ht="15" hidden="false" customHeight="false" outlineLevel="0" collapsed="false">
      <c r="A492" s="12" t="str">
        <f aca="false">IF(B492&lt;&gt;"","CS-"&amp;TEXT(489,"000"),"")</f>
        <v/>
      </c>
      <c r="B492" s="13"/>
      <c r="C492" s="13"/>
      <c r="D492" s="13"/>
      <c r="E492" s="13"/>
      <c r="F492" s="13"/>
      <c r="G492" s="13"/>
      <c r="H492" s="13"/>
      <c r="I492" s="14"/>
      <c r="J492" s="13"/>
    </row>
    <row r="493" customFormat="false" ht="15" hidden="false" customHeight="false" outlineLevel="0" collapsed="false">
      <c r="A493" s="12" t="str">
        <f aca="false">IF(B493&lt;&gt;"","CS-"&amp;TEXT(490,"000"),"")</f>
        <v/>
      </c>
      <c r="B493" s="13"/>
      <c r="C493" s="13"/>
      <c r="D493" s="13"/>
      <c r="E493" s="13"/>
      <c r="F493" s="13"/>
      <c r="G493" s="13"/>
      <c r="H493" s="13"/>
      <c r="I493" s="14"/>
      <c r="J493" s="13"/>
    </row>
    <row r="494" customFormat="false" ht="15" hidden="false" customHeight="false" outlineLevel="0" collapsed="false">
      <c r="A494" s="12" t="str">
        <f aca="false">IF(B494&lt;&gt;"","CS-"&amp;TEXT(491,"000"),"")</f>
        <v/>
      </c>
      <c r="B494" s="13"/>
      <c r="C494" s="13"/>
      <c r="D494" s="13"/>
      <c r="E494" s="13"/>
      <c r="F494" s="13"/>
      <c r="G494" s="13"/>
      <c r="H494" s="13"/>
      <c r="I494" s="14"/>
      <c r="J494" s="13"/>
    </row>
    <row r="495" customFormat="false" ht="15" hidden="false" customHeight="false" outlineLevel="0" collapsed="false">
      <c r="A495" s="12" t="str">
        <f aca="false">IF(B495&lt;&gt;"","CS-"&amp;TEXT(492,"000"),"")</f>
        <v/>
      </c>
      <c r="B495" s="13"/>
      <c r="C495" s="13"/>
      <c r="D495" s="13"/>
      <c r="E495" s="13"/>
      <c r="F495" s="13"/>
      <c r="G495" s="13"/>
      <c r="H495" s="13"/>
      <c r="I495" s="14"/>
      <c r="J495" s="13"/>
    </row>
    <row r="496" customFormat="false" ht="15" hidden="false" customHeight="false" outlineLevel="0" collapsed="false">
      <c r="A496" s="12" t="str">
        <f aca="false">IF(B496&lt;&gt;"","CS-"&amp;TEXT(493,"000"),"")</f>
        <v/>
      </c>
      <c r="B496" s="13"/>
      <c r="C496" s="13"/>
      <c r="D496" s="13"/>
      <c r="E496" s="13"/>
      <c r="F496" s="13"/>
      <c r="G496" s="13"/>
      <c r="H496" s="13"/>
      <c r="I496" s="14"/>
      <c r="J496" s="13"/>
    </row>
    <row r="497" customFormat="false" ht="15" hidden="false" customHeight="false" outlineLevel="0" collapsed="false">
      <c r="A497" s="12" t="str">
        <f aca="false">IF(B497&lt;&gt;"","CS-"&amp;TEXT(494,"000"),"")</f>
        <v/>
      </c>
      <c r="B497" s="13"/>
      <c r="C497" s="13"/>
      <c r="D497" s="13"/>
      <c r="E497" s="13"/>
      <c r="F497" s="13"/>
      <c r="G497" s="13"/>
      <c r="H497" s="13"/>
      <c r="I497" s="14"/>
      <c r="J497" s="13"/>
    </row>
    <row r="498" customFormat="false" ht="15" hidden="false" customHeight="false" outlineLevel="0" collapsed="false">
      <c r="A498" s="12" t="str">
        <f aca="false">IF(B498&lt;&gt;"","CS-"&amp;TEXT(495,"000"),"")</f>
        <v/>
      </c>
      <c r="B498" s="13"/>
      <c r="C498" s="13"/>
      <c r="D498" s="13"/>
      <c r="E498" s="13"/>
      <c r="F498" s="13"/>
      <c r="G498" s="13"/>
      <c r="H498" s="13"/>
      <c r="I498" s="14"/>
      <c r="J498" s="13"/>
    </row>
    <row r="499" customFormat="false" ht="15" hidden="false" customHeight="false" outlineLevel="0" collapsed="false">
      <c r="A499" s="12" t="str">
        <f aca="false">IF(B499&lt;&gt;"","CS-"&amp;TEXT(496,"000"),"")</f>
        <v/>
      </c>
      <c r="B499" s="13"/>
      <c r="C499" s="13"/>
      <c r="D499" s="13"/>
      <c r="E499" s="13"/>
      <c r="F499" s="13"/>
      <c r="G499" s="13"/>
      <c r="H499" s="13"/>
      <c r="I499" s="14"/>
      <c r="J499" s="13"/>
    </row>
    <row r="500" customFormat="false" ht="15" hidden="false" customHeight="false" outlineLevel="0" collapsed="false">
      <c r="A500" s="12" t="str">
        <f aca="false">IF(B500&lt;&gt;"","CS-"&amp;TEXT(497,"000"),"")</f>
        <v/>
      </c>
      <c r="B500" s="13"/>
      <c r="C500" s="13"/>
      <c r="D500" s="13"/>
      <c r="E500" s="13"/>
      <c r="F500" s="13"/>
      <c r="G500" s="13"/>
      <c r="H500" s="13"/>
      <c r="I500" s="14"/>
      <c r="J500" s="13"/>
    </row>
    <row r="501" customFormat="false" ht="15" hidden="false" customHeight="false" outlineLevel="0" collapsed="false">
      <c r="A501" s="12" t="str">
        <f aca="false">IF(B501&lt;&gt;"","CS-"&amp;TEXT(498,"000"),"")</f>
        <v/>
      </c>
      <c r="B501" s="13"/>
      <c r="C501" s="13"/>
      <c r="D501" s="13"/>
      <c r="E501" s="13"/>
      <c r="F501" s="13"/>
      <c r="G501" s="13"/>
      <c r="H501" s="13"/>
      <c r="I501" s="14"/>
      <c r="J501" s="13"/>
    </row>
    <row r="502" customFormat="false" ht="15" hidden="false" customHeight="false" outlineLevel="0" collapsed="false">
      <c r="A502" s="12" t="str">
        <f aca="false">IF(B502&lt;&gt;"","CS-"&amp;TEXT(499,"000"),"")</f>
        <v/>
      </c>
      <c r="B502" s="13"/>
      <c r="C502" s="13"/>
      <c r="D502" s="13"/>
      <c r="E502" s="13"/>
      <c r="F502" s="13"/>
      <c r="G502" s="13"/>
      <c r="H502" s="13"/>
      <c r="I502" s="14"/>
      <c r="J502" s="13"/>
    </row>
    <row r="503" customFormat="false" ht="15" hidden="false" customHeight="false" outlineLevel="0" collapsed="false">
      <c r="A503" s="12" t="str">
        <f aca="false">IF(B503&lt;&gt;"","CS-"&amp;TEXT(500,"000"),"")</f>
        <v/>
      </c>
      <c r="B503" s="13"/>
      <c r="C503" s="13"/>
      <c r="D503" s="13"/>
      <c r="E503" s="13"/>
      <c r="F503" s="13"/>
      <c r="G503" s="13"/>
      <c r="H503" s="13"/>
      <c r="I503" s="14"/>
      <c r="J503" s="13"/>
    </row>
    <row r="504" customFormat="false" ht="15" hidden="false" customHeight="false" outlineLevel="0" collapsed="false">
      <c r="A504" s="12" t="str">
        <f aca="false">IF(B504&lt;&gt;"","CS-"&amp;TEXT(501,"000"),"")</f>
        <v/>
      </c>
      <c r="B504" s="13"/>
      <c r="C504" s="13"/>
      <c r="D504" s="13"/>
      <c r="E504" s="13"/>
      <c r="F504" s="13"/>
      <c r="G504" s="13"/>
      <c r="H504" s="13"/>
      <c r="I504" s="14"/>
      <c r="J504" s="13"/>
    </row>
    <row r="505" customFormat="false" ht="15" hidden="false" customHeight="false" outlineLevel="0" collapsed="false">
      <c r="A505" s="12" t="str">
        <f aca="false">IF(B505&lt;&gt;"","CS-"&amp;TEXT(502,"000"),"")</f>
        <v/>
      </c>
      <c r="B505" s="13"/>
      <c r="C505" s="13"/>
      <c r="D505" s="13"/>
      <c r="E505" s="13"/>
      <c r="F505" s="13"/>
      <c r="G505" s="13"/>
      <c r="H505" s="13"/>
      <c r="I505" s="14"/>
      <c r="J505" s="13"/>
    </row>
    <row r="506" customFormat="false" ht="15" hidden="false" customHeight="false" outlineLevel="0" collapsed="false">
      <c r="A506" s="12" t="str">
        <f aca="false">IF(B506&lt;&gt;"","CS-"&amp;TEXT(503,"000"),"")</f>
        <v/>
      </c>
      <c r="B506" s="13"/>
      <c r="C506" s="13"/>
      <c r="D506" s="13"/>
      <c r="E506" s="13"/>
      <c r="F506" s="13"/>
      <c r="G506" s="13"/>
      <c r="H506" s="13"/>
      <c r="I506" s="14"/>
      <c r="J506" s="13"/>
    </row>
    <row r="507" customFormat="false" ht="15" hidden="false" customHeight="false" outlineLevel="0" collapsed="false">
      <c r="A507" s="12" t="str">
        <f aca="false">IF(B507&lt;&gt;"","CS-"&amp;TEXT(504,"000"),"")</f>
        <v/>
      </c>
      <c r="B507" s="13"/>
      <c r="C507" s="13"/>
      <c r="D507" s="13"/>
      <c r="E507" s="13"/>
      <c r="F507" s="13"/>
      <c r="G507" s="13"/>
      <c r="H507" s="13"/>
      <c r="I507" s="14"/>
      <c r="J507" s="13"/>
    </row>
    <row r="508" customFormat="false" ht="15" hidden="false" customHeight="false" outlineLevel="0" collapsed="false">
      <c r="A508" s="12" t="str">
        <f aca="false">IF(B508&lt;&gt;"","CS-"&amp;TEXT(505,"000"),"")</f>
        <v/>
      </c>
      <c r="B508" s="13"/>
      <c r="C508" s="13"/>
      <c r="D508" s="13"/>
      <c r="E508" s="13"/>
      <c r="F508" s="13"/>
      <c r="G508" s="13"/>
      <c r="H508" s="13"/>
      <c r="I508" s="14"/>
      <c r="J508" s="13"/>
    </row>
    <row r="509" customFormat="false" ht="15" hidden="false" customHeight="false" outlineLevel="0" collapsed="false">
      <c r="A509" s="12" t="str">
        <f aca="false">IF(B509&lt;&gt;"","CS-"&amp;TEXT(506,"000"),"")</f>
        <v/>
      </c>
      <c r="B509" s="13"/>
      <c r="C509" s="13"/>
      <c r="D509" s="13"/>
      <c r="E509" s="13"/>
      <c r="F509" s="13"/>
      <c r="G509" s="13"/>
      <c r="H509" s="13"/>
      <c r="I509" s="14"/>
      <c r="J509" s="13"/>
    </row>
    <row r="510" customFormat="false" ht="15" hidden="false" customHeight="false" outlineLevel="0" collapsed="false">
      <c r="A510" s="12" t="str">
        <f aca="false">IF(B510&lt;&gt;"","CS-"&amp;TEXT(507,"000"),"")</f>
        <v/>
      </c>
      <c r="B510" s="13"/>
      <c r="C510" s="13"/>
      <c r="D510" s="13"/>
      <c r="E510" s="13"/>
      <c r="F510" s="13"/>
      <c r="G510" s="13"/>
      <c r="H510" s="13"/>
      <c r="I510" s="14"/>
      <c r="J510" s="13"/>
    </row>
    <row r="511" customFormat="false" ht="15" hidden="false" customHeight="false" outlineLevel="0" collapsed="false">
      <c r="A511" s="12" t="str">
        <f aca="false">IF(B511&lt;&gt;"","CS-"&amp;TEXT(508,"000"),"")</f>
        <v/>
      </c>
      <c r="B511" s="13"/>
      <c r="C511" s="13"/>
      <c r="D511" s="13"/>
      <c r="E511" s="13"/>
      <c r="F511" s="13"/>
      <c r="G511" s="13"/>
      <c r="H511" s="13"/>
      <c r="I511" s="14"/>
      <c r="J511" s="13"/>
    </row>
    <row r="512" customFormat="false" ht="15" hidden="false" customHeight="false" outlineLevel="0" collapsed="false">
      <c r="A512" s="12" t="str">
        <f aca="false">IF(B512&lt;&gt;"","CS-"&amp;TEXT(509,"000"),"")</f>
        <v/>
      </c>
      <c r="B512" s="13"/>
      <c r="C512" s="13"/>
      <c r="D512" s="13"/>
      <c r="E512" s="13"/>
      <c r="F512" s="13"/>
      <c r="G512" s="13"/>
      <c r="H512" s="13"/>
      <c r="I512" s="14"/>
      <c r="J512" s="13"/>
    </row>
    <row r="513" customFormat="false" ht="15" hidden="false" customHeight="false" outlineLevel="0" collapsed="false">
      <c r="A513" s="12" t="str">
        <f aca="false">IF(B513&lt;&gt;"","CS-"&amp;TEXT(510,"000"),"")</f>
        <v/>
      </c>
      <c r="B513" s="13"/>
      <c r="C513" s="13"/>
      <c r="D513" s="13"/>
      <c r="E513" s="13"/>
      <c r="F513" s="13"/>
      <c r="G513" s="13"/>
      <c r="H513" s="13"/>
      <c r="I513" s="14"/>
      <c r="J513" s="13"/>
    </row>
    <row r="514" customFormat="false" ht="15" hidden="false" customHeight="false" outlineLevel="0" collapsed="false">
      <c r="A514" s="12" t="str">
        <f aca="false">IF(B514&lt;&gt;"","CS-"&amp;TEXT(511,"000"),"")</f>
        <v/>
      </c>
      <c r="B514" s="13"/>
      <c r="C514" s="13"/>
      <c r="D514" s="13"/>
      <c r="E514" s="13"/>
      <c r="F514" s="13"/>
      <c r="G514" s="13"/>
      <c r="H514" s="13"/>
      <c r="I514" s="14"/>
      <c r="J514" s="13"/>
    </row>
    <row r="515" customFormat="false" ht="15" hidden="false" customHeight="false" outlineLevel="0" collapsed="false">
      <c r="A515" s="12" t="str">
        <f aca="false">IF(B515&lt;&gt;"","CS-"&amp;TEXT(512,"000"),"")</f>
        <v/>
      </c>
      <c r="B515" s="13"/>
      <c r="C515" s="13"/>
      <c r="D515" s="13"/>
      <c r="E515" s="13"/>
      <c r="F515" s="13"/>
      <c r="G515" s="13"/>
      <c r="H515" s="13"/>
      <c r="I515" s="14"/>
      <c r="J515" s="13"/>
    </row>
    <row r="516" customFormat="false" ht="15" hidden="false" customHeight="false" outlineLevel="0" collapsed="false">
      <c r="A516" s="12" t="str">
        <f aca="false">IF(B516&lt;&gt;"","CS-"&amp;TEXT(513,"000"),"")</f>
        <v/>
      </c>
      <c r="B516" s="13"/>
      <c r="C516" s="13"/>
      <c r="D516" s="13"/>
      <c r="E516" s="13"/>
      <c r="F516" s="13"/>
      <c r="G516" s="13"/>
      <c r="H516" s="13"/>
      <c r="I516" s="14"/>
      <c r="J516" s="13"/>
    </row>
    <row r="517" customFormat="false" ht="15" hidden="false" customHeight="false" outlineLevel="0" collapsed="false">
      <c r="A517" s="12" t="str">
        <f aca="false">IF(B517&lt;&gt;"","CS-"&amp;TEXT(514,"000"),"")</f>
        <v/>
      </c>
      <c r="B517" s="13"/>
      <c r="C517" s="13"/>
      <c r="D517" s="13"/>
      <c r="E517" s="13"/>
      <c r="F517" s="13"/>
      <c r="G517" s="13"/>
      <c r="H517" s="13"/>
      <c r="I517" s="14"/>
      <c r="J517" s="13"/>
    </row>
    <row r="518" customFormat="false" ht="15" hidden="false" customHeight="false" outlineLevel="0" collapsed="false">
      <c r="A518" s="12" t="str">
        <f aca="false">IF(B518&lt;&gt;"","CS-"&amp;TEXT(515,"000"),"")</f>
        <v/>
      </c>
      <c r="B518" s="13"/>
      <c r="C518" s="13"/>
      <c r="D518" s="13"/>
      <c r="E518" s="13"/>
      <c r="F518" s="13"/>
      <c r="G518" s="13"/>
      <c r="H518" s="13"/>
      <c r="I518" s="14"/>
      <c r="J518" s="13"/>
    </row>
    <row r="519" customFormat="false" ht="15" hidden="false" customHeight="false" outlineLevel="0" collapsed="false">
      <c r="A519" s="12" t="str">
        <f aca="false">IF(B519&lt;&gt;"","CS-"&amp;TEXT(516,"000"),"")</f>
        <v/>
      </c>
      <c r="B519" s="13"/>
      <c r="C519" s="13"/>
      <c r="D519" s="13"/>
      <c r="E519" s="13"/>
      <c r="F519" s="13"/>
      <c r="G519" s="13"/>
      <c r="H519" s="13"/>
      <c r="I519" s="14"/>
      <c r="J519" s="13"/>
    </row>
    <row r="520" customFormat="false" ht="15" hidden="false" customHeight="false" outlineLevel="0" collapsed="false">
      <c r="A520" s="12" t="str">
        <f aca="false">IF(B520&lt;&gt;"","CS-"&amp;TEXT(517,"000"),"")</f>
        <v/>
      </c>
      <c r="B520" s="13"/>
      <c r="C520" s="13"/>
      <c r="D520" s="13"/>
      <c r="E520" s="13"/>
      <c r="F520" s="13"/>
      <c r="G520" s="13"/>
      <c r="H520" s="13"/>
      <c r="I520" s="14"/>
      <c r="J520" s="13"/>
    </row>
    <row r="521" customFormat="false" ht="15" hidden="false" customHeight="false" outlineLevel="0" collapsed="false">
      <c r="A521" s="12" t="str">
        <f aca="false">IF(B521&lt;&gt;"","CS-"&amp;TEXT(518,"000"),"")</f>
        <v/>
      </c>
      <c r="B521" s="13"/>
      <c r="C521" s="13"/>
      <c r="D521" s="13"/>
      <c r="E521" s="13"/>
      <c r="F521" s="13"/>
      <c r="G521" s="13"/>
      <c r="H521" s="13"/>
      <c r="I521" s="14"/>
      <c r="J521" s="13"/>
    </row>
    <row r="522" customFormat="false" ht="15" hidden="false" customHeight="false" outlineLevel="0" collapsed="false">
      <c r="A522" s="12" t="str">
        <f aca="false">IF(B522&lt;&gt;"","CS-"&amp;TEXT(519,"000"),"")</f>
        <v/>
      </c>
      <c r="B522" s="13"/>
      <c r="C522" s="13"/>
      <c r="D522" s="13"/>
      <c r="E522" s="13"/>
      <c r="F522" s="13"/>
      <c r="G522" s="13"/>
      <c r="H522" s="13"/>
      <c r="I522" s="14"/>
      <c r="J522" s="13"/>
    </row>
    <row r="523" customFormat="false" ht="15" hidden="false" customHeight="false" outlineLevel="0" collapsed="false">
      <c r="A523" s="12" t="str">
        <f aca="false">IF(B523&lt;&gt;"","CS-"&amp;TEXT(520,"000"),"")</f>
        <v/>
      </c>
      <c r="B523" s="13"/>
      <c r="C523" s="13"/>
      <c r="D523" s="13"/>
      <c r="E523" s="13"/>
      <c r="F523" s="13"/>
      <c r="G523" s="13"/>
      <c r="H523" s="13"/>
      <c r="I523" s="14"/>
      <c r="J523" s="13"/>
    </row>
    <row r="524" customFormat="false" ht="15" hidden="false" customHeight="false" outlineLevel="0" collapsed="false">
      <c r="A524" s="12" t="str">
        <f aca="false">IF(B524&lt;&gt;"","CS-"&amp;TEXT(521,"000"),"")</f>
        <v/>
      </c>
      <c r="B524" s="13"/>
      <c r="C524" s="13"/>
      <c r="D524" s="13"/>
      <c r="E524" s="13"/>
      <c r="F524" s="13"/>
      <c r="G524" s="13"/>
      <c r="H524" s="13"/>
      <c r="I524" s="14"/>
      <c r="J524" s="13"/>
    </row>
    <row r="525" customFormat="false" ht="15" hidden="false" customHeight="false" outlineLevel="0" collapsed="false">
      <c r="A525" s="12" t="str">
        <f aca="false">IF(B525&lt;&gt;"","CS-"&amp;TEXT(522,"000"),"")</f>
        <v/>
      </c>
      <c r="B525" s="13"/>
      <c r="C525" s="13"/>
      <c r="D525" s="13"/>
      <c r="E525" s="13"/>
      <c r="F525" s="13"/>
      <c r="G525" s="13"/>
      <c r="H525" s="13"/>
      <c r="I525" s="14"/>
      <c r="J525" s="13"/>
    </row>
    <row r="526" customFormat="false" ht="15" hidden="false" customHeight="false" outlineLevel="0" collapsed="false">
      <c r="A526" s="12" t="str">
        <f aca="false">IF(B526&lt;&gt;"","CS-"&amp;TEXT(523,"000"),"")</f>
        <v/>
      </c>
      <c r="B526" s="13"/>
      <c r="C526" s="13"/>
      <c r="D526" s="13"/>
      <c r="E526" s="13"/>
      <c r="F526" s="13"/>
      <c r="G526" s="13"/>
      <c r="H526" s="13"/>
      <c r="I526" s="14"/>
      <c r="J526" s="13"/>
    </row>
    <row r="527" customFormat="false" ht="15" hidden="false" customHeight="false" outlineLevel="0" collapsed="false">
      <c r="A527" s="12" t="str">
        <f aca="false">IF(B527&lt;&gt;"","CS-"&amp;TEXT(524,"000"),"")</f>
        <v/>
      </c>
      <c r="B527" s="13"/>
      <c r="C527" s="13"/>
      <c r="D527" s="13"/>
      <c r="E527" s="13"/>
      <c r="F527" s="13"/>
      <c r="G527" s="13"/>
      <c r="H527" s="13"/>
      <c r="I527" s="14"/>
      <c r="J527" s="13"/>
    </row>
    <row r="528" customFormat="false" ht="15" hidden="false" customHeight="false" outlineLevel="0" collapsed="false">
      <c r="A528" s="12" t="str">
        <f aca="false">IF(B528&lt;&gt;"","CS-"&amp;TEXT(525,"000"),"")</f>
        <v/>
      </c>
      <c r="B528" s="13"/>
      <c r="C528" s="13"/>
      <c r="D528" s="13"/>
      <c r="E528" s="13"/>
      <c r="F528" s="13"/>
      <c r="G528" s="13"/>
      <c r="H528" s="13"/>
      <c r="I528" s="14"/>
      <c r="J528" s="13"/>
    </row>
    <row r="529" customFormat="false" ht="15" hidden="false" customHeight="false" outlineLevel="0" collapsed="false">
      <c r="A529" s="12" t="str">
        <f aca="false">IF(B529&lt;&gt;"","CS-"&amp;TEXT(526,"000"),"")</f>
        <v/>
      </c>
      <c r="B529" s="13"/>
      <c r="C529" s="13"/>
      <c r="D529" s="13"/>
      <c r="E529" s="13"/>
      <c r="F529" s="13"/>
      <c r="G529" s="13"/>
      <c r="H529" s="13"/>
      <c r="I529" s="14"/>
      <c r="J529" s="13"/>
    </row>
    <row r="530" customFormat="false" ht="15" hidden="false" customHeight="false" outlineLevel="0" collapsed="false">
      <c r="A530" s="12" t="str">
        <f aca="false">IF(B530&lt;&gt;"","CS-"&amp;TEXT(527,"000"),"")</f>
        <v/>
      </c>
      <c r="B530" s="13"/>
      <c r="C530" s="13"/>
      <c r="D530" s="13"/>
      <c r="E530" s="13"/>
      <c r="F530" s="13"/>
      <c r="G530" s="13"/>
      <c r="H530" s="13"/>
      <c r="I530" s="14"/>
      <c r="J530" s="13"/>
    </row>
    <row r="531" customFormat="false" ht="15" hidden="false" customHeight="false" outlineLevel="0" collapsed="false">
      <c r="A531" s="12" t="str">
        <f aca="false">IF(B531&lt;&gt;"","CS-"&amp;TEXT(528,"000"),"")</f>
        <v/>
      </c>
      <c r="B531" s="13"/>
      <c r="C531" s="13"/>
      <c r="D531" s="13"/>
      <c r="E531" s="13"/>
      <c r="F531" s="13"/>
      <c r="G531" s="13"/>
      <c r="H531" s="13"/>
      <c r="I531" s="14"/>
      <c r="J531" s="13"/>
    </row>
    <row r="532" customFormat="false" ht="15" hidden="false" customHeight="false" outlineLevel="0" collapsed="false">
      <c r="A532" s="12" t="str">
        <f aca="false">IF(B532&lt;&gt;"","CS-"&amp;TEXT(529,"000"),"")</f>
        <v/>
      </c>
      <c r="B532" s="13"/>
      <c r="C532" s="13"/>
      <c r="D532" s="13"/>
      <c r="E532" s="13"/>
      <c r="F532" s="13"/>
      <c r="G532" s="13"/>
      <c r="H532" s="13"/>
      <c r="I532" s="14"/>
      <c r="J532" s="13"/>
    </row>
    <row r="533" customFormat="false" ht="15" hidden="false" customHeight="false" outlineLevel="0" collapsed="false">
      <c r="A533" s="12" t="str">
        <f aca="false">IF(B533&lt;&gt;"","CS-"&amp;TEXT(530,"000"),"")</f>
        <v/>
      </c>
      <c r="B533" s="13"/>
      <c r="C533" s="13"/>
      <c r="D533" s="13"/>
      <c r="E533" s="13"/>
      <c r="F533" s="13"/>
      <c r="G533" s="13"/>
      <c r="H533" s="13"/>
      <c r="I533" s="14"/>
      <c r="J533" s="13"/>
    </row>
    <row r="534" customFormat="false" ht="15" hidden="false" customHeight="false" outlineLevel="0" collapsed="false">
      <c r="A534" s="12" t="str">
        <f aca="false">IF(B534&lt;&gt;"","CS-"&amp;TEXT(531,"000"),"")</f>
        <v/>
      </c>
      <c r="B534" s="13"/>
      <c r="C534" s="13"/>
      <c r="D534" s="13"/>
      <c r="E534" s="13"/>
      <c r="F534" s="13"/>
      <c r="G534" s="13"/>
      <c r="H534" s="13"/>
      <c r="I534" s="14"/>
      <c r="J534" s="13"/>
    </row>
    <row r="535" customFormat="false" ht="15" hidden="false" customHeight="false" outlineLevel="0" collapsed="false">
      <c r="A535" s="12" t="str">
        <f aca="false">IF(B535&lt;&gt;"","CS-"&amp;TEXT(532,"000"),"")</f>
        <v/>
      </c>
      <c r="B535" s="13"/>
      <c r="C535" s="13"/>
      <c r="D535" s="13"/>
      <c r="E535" s="13"/>
      <c r="F535" s="13"/>
      <c r="G535" s="13"/>
      <c r="H535" s="13"/>
      <c r="I535" s="14"/>
      <c r="J535" s="13"/>
    </row>
    <row r="536" customFormat="false" ht="15" hidden="false" customHeight="false" outlineLevel="0" collapsed="false">
      <c r="A536" s="12" t="str">
        <f aca="false">IF(B536&lt;&gt;"","CS-"&amp;TEXT(533,"000"),"")</f>
        <v/>
      </c>
      <c r="B536" s="13"/>
      <c r="C536" s="13"/>
      <c r="D536" s="13"/>
      <c r="E536" s="13"/>
      <c r="F536" s="13"/>
      <c r="G536" s="13"/>
      <c r="H536" s="13"/>
      <c r="I536" s="14"/>
      <c r="J536" s="13"/>
    </row>
    <row r="537" customFormat="false" ht="15" hidden="false" customHeight="false" outlineLevel="0" collapsed="false">
      <c r="A537" s="12" t="str">
        <f aca="false">IF(B537&lt;&gt;"","CS-"&amp;TEXT(534,"000"),"")</f>
        <v/>
      </c>
      <c r="B537" s="13"/>
      <c r="C537" s="13"/>
      <c r="D537" s="13"/>
      <c r="E537" s="13"/>
      <c r="F537" s="13"/>
      <c r="G537" s="13"/>
      <c r="H537" s="13"/>
      <c r="I537" s="14"/>
      <c r="J537" s="13"/>
    </row>
    <row r="538" customFormat="false" ht="15" hidden="false" customHeight="false" outlineLevel="0" collapsed="false">
      <c r="A538" s="12" t="str">
        <f aca="false">IF(B538&lt;&gt;"","CS-"&amp;TEXT(535,"000"),"")</f>
        <v/>
      </c>
      <c r="B538" s="13"/>
      <c r="C538" s="13"/>
      <c r="D538" s="13"/>
      <c r="E538" s="13"/>
      <c r="F538" s="13"/>
      <c r="G538" s="13"/>
      <c r="H538" s="13"/>
      <c r="I538" s="14"/>
      <c r="J538" s="13"/>
    </row>
    <row r="539" customFormat="false" ht="15" hidden="false" customHeight="false" outlineLevel="0" collapsed="false">
      <c r="A539" s="12" t="str">
        <f aca="false">IF(B539&lt;&gt;"","CS-"&amp;TEXT(536,"000"),"")</f>
        <v/>
      </c>
      <c r="B539" s="13"/>
      <c r="C539" s="13"/>
      <c r="D539" s="13"/>
      <c r="E539" s="13"/>
      <c r="F539" s="13"/>
      <c r="G539" s="13"/>
      <c r="H539" s="13"/>
      <c r="I539" s="14"/>
      <c r="J539" s="13"/>
    </row>
    <row r="540" customFormat="false" ht="15" hidden="false" customHeight="false" outlineLevel="0" collapsed="false">
      <c r="A540" s="12" t="str">
        <f aca="false">IF(B540&lt;&gt;"","CS-"&amp;TEXT(537,"000"),"")</f>
        <v/>
      </c>
      <c r="B540" s="13"/>
      <c r="C540" s="13"/>
      <c r="D540" s="13"/>
      <c r="E540" s="13"/>
      <c r="F540" s="13"/>
      <c r="G540" s="13"/>
      <c r="H540" s="13"/>
      <c r="I540" s="14"/>
      <c r="J540" s="13"/>
    </row>
    <row r="541" customFormat="false" ht="15" hidden="false" customHeight="false" outlineLevel="0" collapsed="false">
      <c r="A541" s="12" t="str">
        <f aca="false">IF(B541&lt;&gt;"","CS-"&amp;TEXT(538,"000"),"")</f>
        <v/>
      </c>
      <c r="B541" s="13"/>
      <c r="C541" s="13"/>
      <c r="D541" s="13"/>
      <c r="E541" s="13"/>
      <c r="F541" s="13"/>
      <c r="G541" s="13"/>
      <c r="H541" s="13"/>
      <c r="I541" s="14"/>
      <c r="J541" s="13"/>
    </row>
    <row r="542" customFormat="false" ht="15" hidden="false" customHeight="false" outlineLevel="0" collapsed="false">
      <c r="A542" s="12" t="str">
        <f aca="false">IF(B542&lt;&gt;"","CS-"&amp;TEXT(539,"000"),"")</f>
        <v/>
      </c>
      <c r="B542" s="13"/>
      <c r="C542" s="13"/>
      <c r="D542" s="13"/>
      <c r="E542" s="13"/>
      <c r="F542" s="13"/>
      <c r="G542" s="13"/>
      <c r="H542" s="13"/>
      <c r="I542" s="14"/>
      <c r="J542" s="13"/>
    </row>
    <row r="543" customFormat="false" ht="15" hidden="false" customHeight="false" outlineLevel="0" collapsed="false">
      <c r="A543" s="12" t="str">
        <f aca="false">IF(B543&lt;&gt;"","CS-"&amp;TEXT(540,"000"),"")</f>
        <v/>
      </c>
      <c r="B543" s="13"/>
      <c r="C543" s="13"/>
      <c r="D543" s="13"/>
      <c r="E543" s="13"/>
      <c r="F543" s="13"/>
      <c r="G543" s="13"/>
      <c r="H543" s="13"/>
      <c r="I543" s="14"/>
      <c r="J543" s="13"/>
    </row>
    <row r="544" customFormat="false" ht="15" hidden="false" customHeight="false" outlineLevel="0" collapsed="false">
      <c r="A544" s="12" t="str">
        <f aca="false">IF(B544&lt;&gt;"","CS-"&amp;TEXT(541,"000"),"")</f>
        <v/>
      </c>
      <c r="B544" s="13"/>
      <c r="C544" s="13"/>
      <c r="D544" s="13"/>
      <c r="E544" s="13"/>
      <c r="F544" s="13"/>
      <c r="G544" s="13"/>
      <c r="H544" s="13"/>
      <c r="I544" s="14"/>
      <c r="J544" s="13"/>
    </row>
    <row r="545" customFormat="false" ht="15" hidden="false" customHeight="false" outlineLevel="0" collapsed="false">
      <c r="A545" s="12" t="str">
        <f aca="false">IF(B545&lt;&gt;"","CS-"&amp;TEXT(542,"000"),"")</f>
        <v/>
      </c>
      <c r="B545" s="13"/>
      <c r="C545" s="13"/>
      <c r="D545" s="13"/>
      <c r="E545" s="13"/>
      <c r="F545" s="13"/>
      <c r="G545" s="13"/>
      <c r="H545" s="13"/>
      <c r="I545" s="14"/>
      <c r="J545" s="13"/>
    </row>
    <row r="546" customFormat="false" ht="15" hidden="false" customHeight="false" outlineLevel="0" collapsed="false">
      <c r="A546" s="12" t="str">
        <f aca="false">IF(B546&lt;&gt;"","CS-"&amp;TEXT(543,"000"),"")</f>
        <v/>
      </c>
      <c r="B546" s="13"/>
      <c r="C546" s="13"/>
      <c r="D546" s="13"/>
      <c r="E546" s="13"/>
      <c r="F546" s="13"/>
      <c r="G546" s="13"/>
      <c r="H546" s="13"/>
      <c r="I546" s="14"/>
      <c r="J546" s="13"/>
    </row>
    <row r="547" customFormat="false" ht="15" hidden="false" customHeight="false" outlineLevel="0" collapsed="false">
      <c r="A547" s="12" t="str">
        <f aca="false">IF(B547&lt;&gt;"","CS-"&amp;TEXT(544,"000"),"")</f>
        <v/>
      </c>
      <c r="B547" s="13"/>
      <c r="C547" s="13"/>
      <c r="D547" s="13"/>
      <c r="E547" s="13"/>
      <c r="F547" s="13"/>
      <c r="G547" s="13"/>
      <c r="H547" s="13"/>
      <c r="I547" s="14"/>
      <c r="J547" s="13"/>
    </row>
    <row r="548" customFormat="false" ht="15" hidden="false" customHeight="false" outlineLevel="0" collapsed="false">
      <c r="A548" s="12" t="str">
        <f aca="false">IF(B548&lt;&gt;"","CS-"&amp;TEXT(545,"000"),"")</f>
        <v/>
      </c>
      <c r="B548" s="13"/>
      <c r="C548" s="13"/>
      <c r="D548" s="13"/>
      <c r="E548" s="13"/>
      <c r="F548" s="13"/>
      <c r="G548" s="13"/>
      <c r="H548" s="13"/>
      <c r="I548" s="14"/>
      <c r="J548" s="13"/>
    </row>
    <row r="549" customFormat="false" ht="15" hidden="false" customHeight="false" outlineLevel="0" collapsed="false">
      <c r="A549" s="12" t="str">
        <f aca="false">IF(B549&lt;&gt;"","CS-"&amp;TEXT(546,"000"),"")</f>
        <v/>
      </c>
      <c r="B549" s="13"/>
      <c r="C549" s="13"/>
      <c r="D549" s="13"/>
      <c r="E549" s="13"/>
      <c r="F549" s="13"/>
      <c r="G549" s="13"/>
      <c r="H549" s="13"/>
      <c r="I549" s="14"/>
      <c r="J549" s="13"/>
    </row>
    <row r="550" customFormat="false" ht="15" hidden="false" customHeight="false" outlineLevel="0" collapsed="false">
      <c r="A550" s="12" t="str">
        <f aca="false">IF(B550&lt;&gt;"","CS-"&amp;TEXT(547,"000"),"")</f>
        <v/>
      </c>
      <c r="B550" s="13"/>
      <c r="C550" s="13"/>
      <c r="D550" s="13"/>
      <c r="E550" s="13"/>
      <c r="F550" s="13"/>
      <c r="G550" s="13"/>
      <c r="H550" s="13"/>
      <c r="I550" s="14"/>
      <c r="J550" s="13"/>
    </row>
    <row r="551" customFormat="false" ht="15" hidden="false" customHeight="false" outlineLevel="0" collapsed="false">
      <c r="A551" s="12" t="str">
        <f aca="false">IF(B551&lt;&gt;"","CS-"&amp;TEXT(548,"000"),"")</f>
        <v/>
      </c>
      <c r="B551" s="13"/>
      <c r="C551" s="13"/>
      <c r="D551" s="13"/>
      <c r="E551" s="13"/>
      <c r="F551" s="13"/>
      <c r="G551" s="13"/>
      <c r="H551" s="13"/>
      <c r="I551" s="14"/>
      <c r="J551" s="13"/>
    </row>
    <row r="552" customFormat="false" ht="15" hidden="false" customHeight="false" outlineLevel="0" collapsed="false">
      <c r="A552" s="12" t="str">
        <f aca="false">IF(B552&lt;&gt;"","CS-"&amp;TEXT(549,"000"),"")</f>
        <v/>
      </c>
      <c r="B552" s="13"/>
      <c r="C552" s="13"/>
      <c r="D552" s="13"/>
      <c r="E552" s="13"/>
      <c r="F552" s="13"/>
      <c r="G552" s="13"/>
      <c r="H552" s="13"/>
      <c r="I552" s="14"/>
      <c r="J552" s="13"/>
    </row>
    <row r="553" customFormat="false" ht="15" hidden="false" customHeight="false" outlineLevel="0" collapsed="false">
      <c r="A553" s="12" t="str">
        <f aca="false">IF(B553&lt;&gt;"","CS-"&amp;TEXT(550,"000"),"")</f>
        <v/>
      </c>
      <c r="B553" s="13"/>
      <c r="C553" s="13"/>
      <c r="D553" s="13"/>
      <c r="E553" s="13"/>
      <c r="F553" s="13"/>
      <c r="G553" s="13"/>
      <c r="H553" s="13"/>
      <c r="I553" s="14"/>
      <c r="J553" s="13"/>
    </row>
    <row r="554" customFormat="false" ht="15" hidden="false" customHeight="false" outlineLevel="0" collapsed="false">
      <c r="A554" s="12" t="str">
        <f aca="false">IF(B554&lt;&gt;"","CS-"&amp;TEXT(551,"000"),"")</f>
        <v/>
      </c>
      <c r="B554" s="13"/>
      <c r="C554" s="13"/>
      <c r="D554" s="13"/>
      <c r="E554" s="13"/>
      <c r="F554" s="13"/>
      <c r="G554" s="13"/>
      <c r="H554" s="13"/>
      <c r="I554" s="14"/>
      <c r="J554" s="13"/>
    </row>
    <row r="555" customFormat="false" ht="15" hidden="false" customHeight="false" outlineLevel="0" collapsed="false">
      <c r="A555" s="12" t="str">
        <f aca="false">IF(B555&lt;&gt;"","CS-"&amp;TEXT(552,"000"),"")</f>
        <v/>
      </c>
      <c r="B555" s="13"/>
      <c r="C555" s="13"/>
      <c r="D555" s="13"/>
      <c r="E555" s="13"/>
      <c r="F555" s="13"/>
      <c r="G555" s="13"/>
      <c r="H555" s="13"/>
      <c r="I555" s="14"/>
      <c r="J555" s="13"/>
    </row>
    <row r="556" customFormat="false" ht="15" hidden="false" customHeight="false" outlineLevel="0" collapsed="false">
      <c r="A556" s="12" t="str">
        <f aca="false">IF(B556&lt;&gt;"","CS-"&amp;TEXT(553,"000"),"")</f>
        <v/>
      </c>
      <c r="B556" s="13"/>
      <c r="C556" s="13"/>
      <c r="D556" s="13"/>
      <c r="E556" s="13"/>
      <c r="F556" s="13"/>
      <c r="G556" s="13"/>
      <c r="H556" s="13"/>
      <c r="I556" s="14"/>
      <c r="J556" s="13"/>
    </row>
    <row r="557" customFormat="false" ht="15" hidden="false" customHeight="false" outlineLevel="0" collapsed="false">
      <c r="A557" s="12" t="str">
        <f aca="false">IF(B557&lt;&gt;"","CS-"&amp;TEXT(554,"000"),"")</f>
        <v/>
      </c>
      <c r="B557" s="13"/>
      <c r="C557" s="13"/>
      <c r="D557" s="13"/>
      <c r="E557" s="13"/>
      <c r="F557" s="13"/>
      <c r="G557" s="13"/>
      <c r="H557" s="13"/>
      <c r="I557" s="14"/>
      <c r="J557" s="13"/>
    </row>
    <row r="558" customFormat="false" ht="15" hidden="false" customHeight="false" outlineLevel="0" collapsed="false">
      <c r="A558" s="12" t="str">
        <f aca="false">IF(B558&lt;&gt;"","CS-"&amp;TEXT(555,"000"),"")</f>
        <v/>
      </c>
      <c r="B558" s="13"/>
      <c r="C558" s="13"/>
      <c r="D558" s="13"/>
      <c r="E558" s="13"/>
      <c r="F558" s="13"/>
      <c r="G558" s="13"/>
      <c r="H558" s="13"/>
      <c r="I558" s="14"/>
      <c r="J558" s="13"/>
    </row>
    <row r="559" customFormat="false" ht="15" hidden="false" customHeight="false" outlineLevel="0" collapsed="false">
      <c r="A559" s="12" t="str">
        <f aca="false">IF(B559&lt;&gt;"","CS-"&amp;TEXT(556,"000"),"")</f>
        <v/>
      </c>
      <c r="B559" s="13"/>
      <c r="C559" s="13"/>
      <c r="D559" s="13"/>
      <c r="E559" s="13"/>
      <c r="F559" s="13"/>
      <c r="G559" s="13"/>
      <c r="H559" s="13"/>
      <c r="I559" s="14"/>
      <c r="J559" s="13"/>
    </row>
    <row r="560" customFormat="false" ht="15" hidden="false" customHeight="false" outlineLevel="0" collapsed="false">
      <c r="A560" s="12" t="str">
        <f aca="false">IF(B560&lt;&gt;"","CS-"&amp;TEXT(557,"000"),"")</f>
        <v/>
      </c>
      <c r="B560" s="13"/>
      <c r="C560" s="13"/>
      <c r="D560" s="13"/>
      <c r="E560" s="13"/>
      <c r="F560" s="13"/>
      <c r="G560" s="13"/>
      <c r="H560" s="13"/>
      <c r="I560" s="14"/>
      <c r="J560" s="13"/>
    </row>
    <row r="561" customFormat="false" ht="15" hidden="false" customHeight="false" outlineLevel="0" collapsed="false">
      <c r="A561" s="12" t="str">
        <f aca="false">IF(B561&lt;&gt;"","CS-"&amp;TEXT(558,"000"),"")</f>
        <v/>
      </c>
      <c r="B561" s="13"/>
      <c r="C561" s="13"/>
      <c r="D561" s="13"/>
      <c r="E561" s="13"/>
      <c r="F561" s="13"/>
      <c r="G561" s="13"/>
      <c r="H561" s="13"/>
      <c r="I561" s="14"/>
      <c r="J561" s="13"/>
    </row>
    <row r="562" customFormat="false" ht="15" hidden="false" customHeight="false" outlineLevel="0" collapsed="false">
      <c r="A562" s="12" t="str">
        <f aca="false">IF(B562&lt;&gt;"","CS-"&amp;TEXT(559,"000"),"")</f>
        <v/>
      </c>
      <c r="B562" s="13"/>
      <c r="C562" s="13"/>
      <c r="D562" s="13"/>
      <c r="E562" s="13"/>
      <c r="F562" s="13"/>
      <c r="G562" s="13"/>
      <c r="H562" s="13"/>
      <c r="I562" s="14"/>
      <c r="J562" s="13"/>
    </row>
    <row r="563" customFormat="false" ht="15" hidden="false" customHeight="false" outlineLevel="0" collapsed="false">
      <c r="A563" s="12" t="str">
        <f aca="false">IF(B563&lt;&gt;"","CS-"&amp;TEXT(560,"000"),"")</f>
        <v/>
      </c>
      <c r="B563" s="13"/>
      <c r="C563" s="13"/>
      <c r="D563" s="13"/>
      <c r="E563" s="13"/>
      <c r="F563" s="13"/>
      <c r="G563" s="13"/>
      <c r="H563" s="13"/>
      <c r="I563" s="14"/>
      <c r="J563" s="13"/>
    </row>
    <row r="564" customFormat="false" ht="15" hidden="false" customHeight="false" outlineLevel="0" collapsed="false">
      <c r="A564" s="12" t="str">
        <f aca="false">IF(B564&lt;&gt;"","CS-"&amp;TEXT(561,"000"),"")</f>
        <v/>
      </c>
      <c r="B564" s="13"/>
      <c r="C564" s="13"/>
      <c r="D564" s="13"/>
      <c r="E564" s="13"/>
      <c r="F564" s="13"/>
      <c r="G564" s="13"/>
      <c r="H564" s="13"/>
      <c r="I564" s="14"/>
      <c r="J564" s="13"/>
    </row>
    <row r="565" customFormat="false" ht="15" hidden="false" customHeight="false" outlineLevel="0" collapsed="false">
      <c r="A565" s="12" t="str">
        <f aca="false">IF(B565&lt;&gt;"","CS-"&amp;TEXT(562,"000"),"")</f>
        <v/>
      </c>
      <c r="B565" s="13"/>
      <c r="C565" s="13"/>
      <c r="D565" s="13"/>
      <c r="E565" s="13"/>
      <c r="F565" s="13"/>
      <c r="G565" s="13"/>
      <c r="H565" s="13"/>
      <c r="I565" s="14"/>
      <c r="J565" s="13"/>
    </row>
    <row r="566" customFormat="false" ht="15" hidden="false" customHeight="false" outlineLevel="0" collapsed="false">
      <c r="A566" s="12" t="str">
        <f aca="false">IF(B566&lt;&gt;"","CS-"&amp;TEXT(563,"000"),"")</f>
        <v/>
      </c>
      <c r="B566" s="13"/>
      <c r="C566" s="13"/>
      <c r="D566" s="13"/>
      <c r="E566" s="13"/>
      <c r="F566" s="13"/>
      <c r="G566" s="13"/>
      <c r="H566" s="13"/>
      <c r="I566" s="14"/>
      <c r="J566" s="13"/>
    </row>
    <row r="567" customFormat="false" ht="15" hidden="false" customHeight="false" outlineLevel="0" collapsed="false">
      <c r="A567" s="12" t="str">
        <f aca="false">IF(B567&lt;&gt;"","CS-"&amp;TEXT(564,"000"),"")</f>
        <v/>
      </c>
      <c r="B567" s="13"/>
      <c r="C567" s="13"/>
      <c r="D567" s="13"/>
      <c r="E567" s="13"/>
      <c r="F567" s="13"/>
      <c r="G567" s="13"/>
      <c r="H567" s="13"/>
      <c r="I567" s="14"/>
      <c r="J567" s="13"/>
    </row>
    <row r="568" customFormat="false" ht="15" hidden="false" customHeight="false" outlineLevel="0" collapsed="false">
      <c r="A568" s="12" t="str">
        <f aca="false">IF(B568&lt;&gt;"","CS-"&amp;TEXT(565,"000"),"")</f>
        <v/>
      </c>
      <c r="B568" s="13"/>
      <c r="C568" s="13"/>
      <c r="D568" s="13"/>
      <c r="E568" s="13"/>
      <c r="F568" s="13"/>
      <c r="G568" s="13"/>
      <c r="H568" s="13"/>
      <c r="I568" s="14"/>
      <c r="J568" s="13"/>
    </row>
    <row r="569" customFormat="false" ht="15" hidden="false" customHeight="false" outlineLevel="0" collapsed="false">
      <c r="A569" s="12" t="str">
        <f aca="false">IF(B569&lt;&gt;"","CS-"&amp;TEXT(566,"000"),"")</f>
        <v/>
      </c>
      <c r="B569" s="13"/>
      <c r="C569" s="13"/>
      <c r="D569" s="13"/>
      <c r="E569" s="13"/>
      <c r="F569" s="13"/>
      <c r="G569" s="13"/>
      <c r="H569" s="13"/>
      <c r="I569" s="14"/>
      <c r="J569" s="13"/>
    </row>
    <row r="570" customFormat="false" ht="15" hidden="false" customHeight="false" outlineLevel="0" collapsed="false">
      <c r="A570" s="12" t="str">
        <f aca="false">IF(B570&lt;&gt;"","CS-"&amp;TEXT(567,"000"),"")</f>
        <v/>
      </c>
      <c r="B570" s="13"/>
      <c r="C570" s="13"/>
      <c r="D570" s="13"/>
      <c r="E570" s="13"/>
      <c r="F570" s="13"/>
      <c r="G570" s="13"/>
      <c r="H570" s="13"/>
      <c r="I570" s="14"/>
      <c r="J570" s="13"/>
    </row>
    <row r="571" customFormat="false" ht="15" hidden="false" customHeight="false" outlineLevel="0" collapsed="false">
      <c r="A571" s="12" t="str">
        <f aca="false">IF(B571&lt;&gt;"","CS-"&amp;TEXT(568,"000"),"")</f>
        <v/>
      </c>
      <c r="B571" s="13"/>
      <c r="C571" s="13"/>
      <c r="D571" s="13"/>
      <c r="E571" s="13"/>
      <c r="F571" s="13"/>
      <c r="G571" s="13"/>
      <c r="H571" s="13"/>
      <c r="I571" s="14"/>
      <c r="J571" s="13"/>
    </row>
    <row r="572" customFormat="false" ht="15" hidden="false" customHeight="false" outlineLevel="0" collapsed="false">
      <c r="A572" s="12" t="str">
        <f aca="false">IF(B572&lt;&gt;"","CS-"&amp;TEXT(569,"000"),"")</f>
        <v/>
      </c>
      <c r="B572" s="13"/>
      <c r="C572" s="13"/>
      <c r="D572" s="13"/>
      <c r="E572" s="13"/>
      <c r="F572" s="13"/>
      <c r="G572" s="13"/>
      <c r="H572" s="13"/>
      <c r="I572" s="14"/>
      <c r="J572" s="13"/>
    </row>
    <row r="573" customFormat="false" ht="15" hidden="false" customHeight="false" outlineLevel="0" collapsed="false">
      <c r="A573" s="12" t="str">
        <f aca="false">IF(B573&lt;&gt;"","CS-"&amp;TEXT(570,"000"),"")</f>
        <v/>
      </c>
      <c r="B573" s="13"/>
      <c r="C573" s="13"/>
      <c r="D573" s="13"/>
      <c r="E573" s="13"/>
      <c r="F573" s="13"/>
      <c r="G573" s="13"/>
      <c r="H573" s="13"/>
      <c r="I573" s="14"/>
      <c r="J573" s="13"/>
    </row>
    <row r="574" customFormat="false" ht="15" hidden="false" customHeight="false" outlineLevel="0" collapsed="false">
      <c r="A574" s="12" t="str">
        <f aca="false">IF(B574&lt;&gt;"","CS-"&amp;TEXT(571,"000"),"")</f>
        <v/>
      </c>
      <c r="B574" s="13"/>
      <c r="C574" s="13"/>
      <c r="D574" s="13"/>
      <c r="E574" s="13"/>
      <c r="F574" s="13"/>
      <c r="G574" s="13"/>
      <c r="H574" s="13"/>
      <c r="I574" s="14"/>
      <c r="J574" s="13"/>
    </row>
    <row r="575" customFormat="false" ht="15" hidden="false" customHeight="false" outlineLevel="0" collapsed="false">
      <c r="A575" s="12" t="str">
        <f aca="false">IF(B575&lt;&gt;"","CS-"&amp;TEXT(572,"000"),"")</f>
        <v/>
      </c>
      <c r="B575" s="13"/>
      <c r="C575" s="13"/>
      <c r="D575" s="13"/>
      <c r="E575" s="13"/>
      <c r="F575" s="13"/>
      <c r="G575" s="13"/>
      <c r="H575" s="13"/>
      <c r="I575" s="14"/>
      <c r="J575" s="13"/>
    </row>
    <row r="576" customFormat="false" ht="15" hidden="false" customHeight="false" outlineLevel="0" collapsed="false">
      <c r="A576" s="12" t="str">
        <f aca="false">IF(B576&lt;&gt;"","CS-"&amp;TEXT(573,"000"),"")</f>
        <v/>
      </c>
      <c r="B576" s="13"/>
      <c r="C576" s="13"/>
      <c r="D576" s="13"/>
      <c r="E576" s="13"/>
      <c r="F576" s="13"/>
      <c r="G576" s="13"/>
      <c r="H576" s="13"/>
      <c r="I576" s="14"/>
      <c r="J576" s="13"/>
    </row>
    <row r="577" customFormat="false" ht="15" hidden="false" customHeight="false" outlineLevel="0" collapsed="false">
      <c r="A577" s="12" t="str">
        <f aca="false">IF(B577&lt;&gt;"","CS-"&amp;TEXT(574,"000"),"")</f>
        <v/>
      </c>
      <c r="B577" s="13"/>
      <c r="C577" s="13"/>
      <c r="D577" s="13"/>
      <c r="E577" s="13"/>
      <c r="F577" s="13"/>
      <c r="G577" s="13"/>
      <c r="H577" s="13"/>
      <c r="I577" s="14"/>
      <c r="J577" s="13"/>
    </row>
    <row r="578" customFormat="false" ht="15" hidden="false" customHeight="false" outlineLevel="0" collapsed="false">
      <c r="A578" s="12" t="str">
        <f aca="false">IF(B578&lt;&gt;"","CS-"&amp;TEXT(575,"000"),"")</f>
        <v/>
      </c>
      <c r="B578" s="13"/>
      <c r="C578" s="13"/>
      <c r="D578" s="13"/>
      <c r="E578" s="13"/>
      <c r="F578" s="13"/>
      <c r="G578" s="13"/>
      <c r="H578" s="13"/>
      <c r="I578" s="14"/>
      <c r="J578" s="13"/>
    </row>
    <row r="579" customFormat="false" ht="15" hidden="false" customHeight="false" outlineLevel="0" collapsed="false">
      <c r="A579" s="12" t="str">
        <f aca="false">IF(B579&lt;&gt;"","CS-"&amp;TEXT(576,"000"),"")</f>
        <v/>
      </c>
      <c r="B579" s="13"/>
      <c r="C579" s="13"/>
      <c r="D579" s="13"/>
      <c r="E579" s="13"/>
      <c r="F579" s="13"/>
      <c r="G579" s="13"/>
      <c r="H579" s="13"/>
      <c r="I579" s="14"/>
      <c r="J579" s="13"/>
    </row>
    <row r="580" customFormat="false" ht="15" hidden="false" customHeight="false" outlineLevel="0" collapsed="false">
      <c r="A580" s="12" t="str">
        <f aca="false">IF(B580&lt;&gt;"","CS-"&amp;TEXT(577,"000"),"")</f>
        <v/>
      </c>
      <c r="B580" s="13"/>
      <c r="C580" s="13"/>
      <c r="D580" s="13"/>
      <c r="E580" s="13"/>
      <c r="F580" s="13"/>
      <c r="G580" s="13"/>
      <c r="H580" s="13"/>
      <c r="I580" s="14"/>
      <c r="J580" s="13"/>
    </row>
    <row r="581" customFormat="false" ht="15" hidden="false" customHeight="false" outlineLevel="0" collapsed="false">
      <c r="A581" s="12" t="str">
        <f aca="false">IF(B581&lt;&gt;"","CS-"&amp;TEXT(578,"000"),"")</f>
        <v/>
      </c>
      <c r="B581" s="13"/>
      <c r="C581" s="13"/>
      <c r="D581" s="13"/>
      <c r="E581" s="13"/>
      <c r="F581" s="13"/>
      <c r="G581" s="13"/>
      <c r="H581" s="13"/>
      <c r="I581" s="14"/>
      <c r="J581" s="13"/>
    </row>
    <row r="582" customFormat="false" ht="15" hidden="false" customHeight="false" outlineLevel="0" collapsed="false">
      <c r="A582" s="12" t="str">
        <f aca="false">IF(B582&lt;&gt;"","CS-"&amp;TEXT(579,"000"),"")</f>
        <v/>
      </c>
      <c r="B582" s="13"/>
      <c r="C582" s="13"/>
      <c r="D582" s="13"/>
      <c r="E582" s="13"/>
      <c r="F582" s="13"/>
      <c r="G582" s="13"/>
      <c r="H582" s="13"/>
      <c r="I582" s="14"/>
      <c r="J582" s="13"/>
    </row>
    <row r="583" customFormat="false" ht="15" hidden="false" customHeight="false" outlineLevel="0" collapsed="false">
      <c r="A583" s="12" t="str">
        <f aca="false">IF(B583&lt;&gt;"","CS-"&amp;TEXT(580,"000"),"")</f>
        <v/>
      </c>
      <c r="B583" s="13"/>
      <c r="C583" s="13"/>
      <c r="D583" s="13"/>
      <c r="E583" s="13"/>
      <c r="F583" s="13"/>
      <c r="G583" s="13"/>
      <c r="H583" s="13"/>
      <c r="I583" s="14"/>
      <c r="J583" s="13"/>
    </row>
    <row r="584" customFormat="false" ht="15" hidden="false" customHeight="false" outlineLevel="0" collapsed="false">
      <c r="A584" s="12" t="str">
        <f aca="false">IF(B584&lt;&gt;"","CS-"&amp;TEXT(581,"000"),"")</f>
        <v/>
      </c>
      <c r="B584" s="13"/>
      <c r="C584" s="13"/>
      <c r="D584" s="13"/>
      <c r="E584" s="13"/>
      <c r="F584" s="13"/>
      <c r="G584" s="13"/>
      <c r="H584" s="13"/>
      <c r="I584" s="14"/>
      <c r="J584" s="13"/>
    </row>
    <row r="585" customFormat="false" ht="15" hidden="false" customHeight="false" outlineLevel="0" collapsed="false">
      <c r="A585" s="12" t="str">
        <f aca="false">IF(B585&lt;&gt;"","CS-"&amp;TEXT(582,"000"),"")</f>
        <v/>
      </c>
      <c r="B585" s="13"/>
      <c r="C585" s="13"/>
      <c r="D585" s="13"/>
      <c r="E585" s="13"/>
      <c r="F585" s="13"/>
      <c r="G585" s="13"/>
      <c r="H585" s="13"/>
      <c r="I585" s="14"/>
      <c r="J585" s="13"/>
    </row>
    <row r="586" customFormat="false" ht="15" hidden="false" customHeight="false" outlineLevel="0" collapsed="false">
      <c r="A586" s="12" t="str">
        <f aca="false">IF(B586&lt;&gt;"","CS-"&amp;TEXT(583,"000"),"")</f>
        <v/>
      </c>
      <c r="B586" s="13"/>
      <c r="C586" s="13"/>
      <c r="D586" s="13"/>
      <c r="E586" s="13"/>
      <c r="F586" s="13"/>
      <c r="G586" s="13"/>
      <c r="H586" s="13"/>
      <c r="I586" s="14"/>
      <c r="J586" s="13"/>
    </row>
    <row r="587" customFormat="false" ht="15" hidden="false" customHeight="false" outlineLevel="0" collapsed="false">
      <c r="A587" s="12" t="str">
        <f aca="false">IF(B587&lt;&gt;"","CS-"&amp;TEXT(584,"000"),"")</f>
        <v/>
      </c>
      <c r="B587" s="13"/>
      <c r="C587" s="13"/>
      <c r="D587" s="13"/>
      <c r="E587" s="13"/>
      <c r="F587" s="13"/>
      <c r="G587" s="13"/>
      <c r="H587" s="13"/>
      <c r="I587" s="14"/>
      <c r="J587" s="13"/>
    </row>
    <row r="588" customFormat="false" ht="15" hidden="false" customHeight="false" outlineLevel="0" collapsed="false">
      <c r="A588" s="12" t="str">
        <f aca="false">IF(B588&lt;&gt;"","CS-"&amp;TEXT(585,"000"),"")</f>
        <v/>
      </c>
      <c r="B588" s="13"/>
      <c r="C588" s="13"/>
      <c r="D588" s="13"/>
      <c r="E588" s="13"/>
      <c r="F588" s="13"/>
      <c r="G588" s="13"/>
      <c r="H588" s="13"/>
      <c r="I588" s="14"/>
      <c r="J588" s="13"/>
    </row>
    <row r="589" customFormat="false" ht="15" hidden="false" customHeight="false" outlineLevel="0" collapsed="false">
      <c r="A589" s="12" t="str">
        <f aca="false">IF(B589&lt;&gt;"","CS-"&amp;TEXT(586,"000"),"")</f>
        <v/>
      </c>
      <c r="B589" s="13"/>
      <c r="C589" s="13"/>
      <c r="D589" s="13"/>
      <c r="E589" s="13"/>
      <c r="F589" s="13"/>
      <c r="G589" s="13"/>
      <c r="H589" s="13"/>
      <c r="I589" s="14"/>
      <c r="J589" s="13"/>
    </row>
    <row r="590" customFormat="false" ht="15" hidden="false" customHeight="false" outlineLevel="0" collapsed="false">
      <c r="A590" s="12" t="str">
        <f aca="false">IF(B590&lt;&gt;"","CS-"&amp;TEXT(587,"000"),"")</f>
        <v/>
      </c>
      <c r="B590" s="13"/>
      <c r="C590" s="13"/>
      <c r="D590" s="13"/>
      <c r="E590" s="13"/>
      <c r="F590" s="13"/>
      <c r="G590" s="13"/>
      <c r="H590" s="13"/>
      <c r="I590" s="14"/>
      <c r="J590" s="13"/>
    </row>
    <row r="591" customFormat="false" ht="15" hidden="false" customHeight="false" outlineLevel="0" collapsed="false">
      <c r="A591" s="12" t="str">
        <f aca="false">IF(B591&lt;&gt;"","CS-"&amp;TEXT(588,"000"),"")</f>
        <v/>
      </c>
      <c r="B591" s="13"/>
      <c r="C591" s="13"/>
      <c r="D591" s="13"/>
      <c r="E591" s="13"/>
      <c r="F591" s="13"/>
      <c r="G591" s="13"/>
      <c r="H591" s="13"/>
      <c r="I591" s="14"/>
      <c r="J591" s="13"/>
    </row>
    <row r="592" customFormat="false" ht="15" hidden="false" customHeight="false" outlineLevel="0" collapsed="false">
      <c r="A592" s="12" t="str">
        <f aca="false">IF(B592&lt;&gt;"","CS-"&amp;TEXT(589,"000"),"")</f>
        <v/>
      </c>
      <c r="B592" s="13"/>
      <c r="C592" s="13"/>
      <c r="D592" s="13"/>
      <c r="E592" s="13"/>
      <c r="F592" s="13"/>
      <c r="G592" s="13"/>
      <c r="H592" s="13"/>
      <c r="I592" s="14"/>
      <c r="J592" s="13"/>
    </row>
    <row r="593" customFormat="false" ht="15" hidden="false" customHeight="false" outlineLevel="0" collapsed="false">
      <c r="A593" s="12" t="str">
        <f aca="false">IF(B593&lt;&gt;"","CS-"&amp;TEXT(590,"000"),"")</f>
        <v/>
      </c>
      <c r="B593" s="13"/>
      <c r="C593" s="13"/>
      <c r="D593" s="13"/>
      <c r="E593" s="13"/>
      <c r="F593" s="13"/>
      <c r="G593" s="13"/>
      <c r="H593" s="13"/>
      <c r="I593" s="14"/>
      <c r="J593" s="13"/>
    </row>
    <row r="594" customFormat="false" ht="15" hidden="false" customHeight="false" outlineLevel="0" collapsed="false">
      <c r="A594" s="12" t="str">
        <f aca="false">IF(B594&lt;&gt;"","CS-"&amp;TEXT(591,"000"),"")</f>
        <v/>
      </c>
      <c r="B594" s="13"/>
      <c r="C594" s="13"/>
      <c r="D594" s="13"/>
      <c r="E594" s="13"/>
      <c r="F594" s="13"/>
      <c r="G594" s="13"/>
      <c r="H594" s="13"/>
      <c r="I594" s="14"/>
      <c r="J594" s="13"/>
    </row>
    <row r="595" customFormat="false" ht="15" hidden="false" customHeight="false" outlineLevel="0" collapsed="false">
      <c r="A595" s="12" t="str">
        <f aca="false">IF(B595&lt;&gt;"","CS-"&amp;TEXT(592,"000"),"")</f>
        <v/>
      </c>
      <c r="B595" s="13"/>
      <c r="C595" s="13"/>
      <c r="D595" s="13"/>
      <c r="E595" s="13"/>
      <c r="F595" s="13"/>
      <c r="G595" s="13"/>
      <c r="H595" s="13"/>
      <c r="I595" s="14"/>
      <c r="J595" s="13"/>
    </row>
    <row r="596" customFormat="false" ht="15" hidden="false" customHeight="false" outlineLevel="0" collapsed="false">
      <c r="A596" s="12" t="str">
        <f aca="false">IF(B596&lt;&gt;"","CS-"&amp;TEXT(593,"000"),"")</f>
        <v/>
      </c>
      <c r="B596" s="13"/>
      <c r="C596" s="13"/>
      <c r="D596" s="13"/>
      <c r="E596" s="13"/>
      <c r="F596" s="13"/>
      <c r="G596" s="13"/>
      <c r="H596" s="13"/>
      <c r="I596" s="14"/>
      <c r="J596" s="13"/>
    </row>
    <row r="597" customFormat="false" ht="15" hidden="false" customHeight="false" outlineLevel="0" collapsed="false">
      <c r="A597" s="12" t="str">
        <f aca="false">IF(B597&lt;&gt;"","CS-"&amp;TEXT(594,"000"),"")</f>
        <v/>
      </c>
      <c r="B597" s="13"/>
      <c r="C597" s="13"/>
      <c r="D597" s="13"/>
      <c r="E597" s="13"/>
      <c r="F597" s="13"/>
      <c r="G597" s="13"/>
      <c r="H597" s="13"/>
      <c r="I597" s="14"/>
      <c r="J597" s="13"/>
    </row>
    <row r="598" customFormat="false" ht="15" hidden="false" customHeight="false" outlineLevel="0" collapsed="false">
      <c r="A598" s="12" t="str">
        <f aca="false">IF(B598&lt;&gt;"","CS-"&amp;TEXT(595,"000"),"")</f>
        <v/>
      </c>
      <c r="B598" s="13"/>
      <c r="C598" s="13"/>
      <c r="D598" s="13"/>
      <c r="E598" s="13"/>
      <c r="F598" s="13"/>
      <c r="G598" s="13"/>
      <c r="H598" s="13"/>
      <c r="I598" s="14"/>
      <c r="J598" s="13"/>
    </row>
    <row r="599" customFormat="false" ht="15" hidden="false" customHeight="false" outlineLevel="0" collapsed="false">
      <c r="A599" s="12" t="str">
        <f aca="false">IF(B599&lt;&gt;"","CS-"&amp;TEXT(596,"000"),"")</f>
        <v/>
      </c>
      <c r="B599" s="13"/>
      <c r="C599" s="13"/>
      <c r="D599" s="13"/>
      <c r="E599" s="13"/>
      <c r="F599" s="13"/>
      <c r="G599" s="13"/>
      <c r="H599" s="13"/>
      <c r="I599" s="14"/>
      <c r="J599" s="13"/>
    </row>
    <row r="600" customFormat="false" ht="15" hidden="false" customHeight="false" outlineLevel="0" collapsed="false">
      <c r="A600" s="12" t="str">
        <f aca="false">IF(B600&lt;&gt;"","CS-"&amp;TEXT(597,"000"),"")</f>
        <v/>
      </c>
      <c r="B600" s="13"/>
      <c r="C600" s="13"/>
      <c r="D600" s="13"/>
      <c r="E600" s="13"/>
      <c r="F600" s="13"/>
      <c r="G600" s="13"/>
      <c r="H600" s="13"/>
      <c r="I600" s="14"/>
      <c r="J600" s="13"/>
    </row>
    <row r="601" customFormat="false" ht="15" hidden="false" customHeight="false" outlineLevel="0" collapsed="false">
      <c r="A601" s="12" t="str">
        <f aca="false">IF(B601&lt;&gt;"","CS-"&amp;TEXT(598,"000"),"")</f>
        <v/>
      </c>
      <c r="B601" s="13"/>
      <c r="C601" s="13"/>
      <c r="D601" s="13"/>
      <c r="E601" s="13"/>
      <c r="F601" s="13"/>
      <c r="G601" s="13"/>
      <c r="H601" s="13"/>
      <c r="I601" s="14"/>
      <c r="J601" s="13"/>
    </row>
    <row r="602" customFormat="false" ht="15" hidden="false" customHeight="false" outlineLevel="0" collapsed="false">
      <c r="A602" s="12" t="str">
        <f aca="false">IF(B602&lt;&gt;"","CS-"&amp;TEXT(599,"000"),"")</f>
        <v/>
      </c>
      <c r="B602" s="13"/>
      <c r="C602" s="13"/>
      <c r="D602" s="13"/>
      <c r="E602" s="13"/>
      <c r="F602" s="13"/>
      <c r="G602" s="13"/>
      <c r="H602" s="13"/>
      <c r="I602" s="14"/>
      <c r="J602" s="13"/>
    </row>
    <row r="603" customFormat="false" ht="15" hidden="false" customHeight="false" outlineLevel="0" collapsed="false">
      <c r="A603" s="12" t="str">
        <f aca="false">IF(B603&lt;&gt;"","CS-"&amp;TEXT(600,"000"),"")</f>
        <v/>
      </c>
      <c r="B603" s="13"/>
      <c r="C603" s="13"/>
      <c r="D603" s="13"/>
      <c r="E603" s="13"/>
      <c r="F603" s="13"/>
      <c r="G603" s="13"/>
      <c r="H603" s="13"/>
      <c r="I603" s="14"/>
      <c r="J603" s="13"/>
    </row>
    <row r="604" customFormat="false" ht="15" hidden="false" customHeight="false" outlineLevel="0" collapsed="false">
      <c r="A604" s="12" t="str">
        <f aca="false">IF(B604&lt;&gt;"","CS-"&amp;TEXT(601,"000"),"")</f>
        <v/>
      </c>
      <c r="B604" s="13"/>
      <c r="C604" s="13"/>
      <c r="D604" s="13"/>
      <c r="E604" s="13"/>
      <c r="F604" s="13"/>
      <c r="G604" s="13"/>
      <c r="H604" s="13"/>
      <c r="I604" s="14"/>
      <c r="J604" s="13"/>
    </row>
    <row r="605" customFormat="false" ht="15" hidden="false" customHeight="false" outlineLevel="0" collapsed="false">
      <c r="A605" s="12" t="str">
        <f aca="false">IF(B605&lt;&gt;"","CS-"&amp;TEXT(602,"000"),"")</f>
        <v/>
      </c>
      <c r="B605" s="13"/>
      <c r="C605" s="13"/>
      <c r="D605" s="13"/>
      <c r="E605" s="13"/>
      <c r="F605" s="13"/>
      <c r="G605" s="13"/>
      <c r="H605" s="13"/>
      <c r="I605" s="14"/>
      <c r="J605" s="13"/>
    </row>
    <row r="606" customFormat="false" ht="15" hidden="false" customHeight="false" outlineLevel="0" collapsed="false">
      <c r="A606" s="12" t="str">
        <f aca="false">IF(B606&lt;&gt;"","CS-"&amp;TEXT(603,"000"),"")</f>
        <v/>
      </c>
      <c r="B606" s="13"/>
      <c r="C606" s="13"/>
      <c r="D606" s="13"/>
      <c r="E606" s="13"/>
      <c r="F606" s="13"/>
      <c r="G606" s="13"/>
      <c r="H606" s="13"/>
      <c r="I606" s="14"/>
      <c r="J606" s="13"/>
    </row>
    <row r="607" customFormat="false" ht="15" hidden="false" customHeight="false" outlineLevel="0" collapsed="false">
      <c r="A607" s="12" t="str">
        <f aca="false">IF(B607&lt;&gt;"","CS-"&amp;TEXT(604,"000"),"")</f>
        <v/>
      </c>
      <c r="B607" s="13"/>
      <c r="C607" s="13"/>
      <c r="D607" s="13"/>
      <c r="E607" s="13"/>
      <c r="F607" s="13"/>
      <c r="G607" s="13"/>
      <c r="H607" s="13"/>
      <c r="I607" s="14"/>
      <c r="J607" s="13"/>
    </row>
    <row r="608" customFormat="false" ht="15" hidden="false" customHeight="false" outlineLevel="0" collapsed="false">
      <c r="A608" s="12" t="str">
        <f aca="false">IF(B608&lt;&gt;"","CS-"&amp;TEXT(605,"000"),"")</f>
        <v/>
      </c>
      <c r="B608" s="13"/>
      <c r="C608" s="13"/>
      <c r="D608" s="13"/>
      <c r="E608" s="13"/>
      <c r="F608" s="13"/>
      <c r="G608" s="13"/>
      <c r="H608" s="13"/>
      <c r="I608" s="14"/>
      <c r="J608" s="13"/>
    </row>
    <row r="609" customFormat="false" ht="15" hidden="false" customHeight="false" outlineLevel="0" collapsed="false">
      <c r="A609" s="12" t="str">
        <f aca="false">IF(B609&lt;&gt;"","CS-"&amp;TEXT(606,"000"),"")</f>
        <v/>
      </c>
      <c r="B609" s="13"/>
      <c r="C609" s="13"/>
      <c r="D609" s="13"/>
      <c r="E609" s="13"/>
      <c r="F609" s="13"/>
      <c r="G609" s="13"/>
      <c r="H609" s="13"/>
      <c r="I609" s="14"/>
      <c r="J609" s="13"/>
    </row>
    <row r="610" customFormat="false" ht="15" hidden="false" customHeight="false" outlineLevel="0" collapsed="false">
      <c r="A610" s="12" t="str">
        <f aca="false">IF(B610&lt;&gt;"","CS-"&amp;TEXT(607,"000"),"")</f>
        <v/>
      </c>
      <c r="B610" s="13"/>
      <c r="C610" s="13"/>
      <c r="D610" s="13"/>
      <c r="E610" s="13"/>
      <c r="F610" s="13"/>
      <c r="G610" s="13"/>
      <c r="H610" s="13"/>
      <c r="I610" s="14"/>
      <c r="J610" s="13"/>
    </row>
    <row r="611" customFormat="false" ht="15" hidden="false" customHeight="false" outlineLevel="0" collapsed="false">
      <c r="A611" s="12" t="str">
        <f aca="false">IF(B611&lt;&gt;"","CS-"&amp;TEXT(608,"000"),"")</f>
        <v/>
      </c>
      <c r="B611" s="13"/>
      <c r="C611" s="13"/>
      <c r="D611" s="13"/>
      <c r="E611" s="13"/>
      <c r="F611" s="13"/>
      <c r="G611" s="13"/>
      <c r="H611" s="13"/>
      <c r="I611" s="14"/>
      <c r="J611" s="13"/>
    </row>
    <row r="612" customFormat="false" ht="15" hidden="false" customHeight="false" outlineLevel="0" collapsed="false">
      <c r="A612" s="12" t="str">
        <f aca="false">IF(B612&lt;&gt;"","CS-"&amp;TEXT(609,"000"),"")</f>
        <v/>
      </c>
      <c r="B612" s="13"/>
      <c r="C612" s="13"/>
      <c r="D612" s="13"/>
      <c r="E612" s="13"/>
      <c r="F612" s="13"/>
      <c r="G612" s="13"/>
      <c r="H612" s="13"/>
      <c r="I612" s="14"/>
      <c r="J612" s="13"/>
    </row>
    <row r="613" customFormat="false" ht="15" hidden="false" customHeight="false" outlineLevel="0" collapsed="false">
      <c r="A613" s="12" t="str">
        <f aca="false">IF(B613&lt;&gt;"","CS-"&amp;TEXT(610,"000"),"")</f>
        <v/>
      </c>
      <c r="B613" s="13"/>
      <c r="C613" s="13"/>
      <c r="D613" s="13"/>
      <c r="E613" s="13"/>
      <c r="F613" s="13"/>
      <c r="G613" s="13"/>
      <c r="H613" s="13"/>
      <c r="I613" s="14"/>
      <c r="J613" s="13"/>
    </row>
    <row r="614" customFormat="false" ht="15" hidden="false" customHeight="false" outlineLevel="0" collapsed="false">
      <c r="A614" s="12" t="str">
        <f aca="false">IF(B614&lt;&gt;"","CS-"&amp;TEXT(611,"000"),"")</f>
        <v/>
      </c>
      <c r="B614" s="13"/>
      <c r="C614" s="13"/>
      <c r="D614" s="13"/>
      <c r="E614" s="13"/>
      <c r="F614" s="13"/>
      <c r="G614" s="13"/>
      <c r="H614" s="13"/>
      <c r="I614" s="14"/>
      <c r="J614" s="13"/>
    </row>
    <row r="615" customFormat="false" ht="15" hidden="false" customHeight="false" outlineLevel="0" collapsed="false">
      <c r="A615" s="12" t="str">
        <f aca="false">IF(B615&lt;&gt;"","CS-"&amp;TEXT(612,"000"),"")</f>
        <v/>
      </c>
      <c r="B615" s="13"/>
      <c r="C615" s="13"/>
      <c r="D615" s="13"/>
      <c r="E615" s="13"/>
      <c r="F615" s="13"/>
      <c r="G615" s="13"/>
      <c r="H615" s="13"/>
      <c r="I615" s="14"/>
      <c r="J615" s="13"/>
    </row>
    <row r="616" customFormat="false" ht="15" hidden="false" customHeight="false" outlineLevel="0" collapsed="false">
      <c r="A616" s="12" t="str">
        <f aca="false">IF(B616&lt;&gt;"","CS-"&amp;TEXT(613,"000"),"")</f>
        <v/>
      </c>
      <c r="B616" s="13"/>
      <c r="C616" s="13"/>
      <c r="D616" s="13"/>
      <c r="E616" s="13"/>
      <c r="F616" s="13"/>
      <c r="G616" s="13"/>
      <c r="H616" s="13"/>
      <c r="I616" s="14"/>
      <c r="J616" s="13"/>
    </row>
    <row r="617" customFormat="false" ht="15" hidden="false" customHeight="false" outlineLevel="0" collapsed="false">
      <c r="A617" s="12" t="str">
        <f aca="false">IF(B617&lt;&gt;"","CS-"&amp;TEXT(614,"000"),"")</f>
        <v/>
      </c>
      <c r="B617" s="13"/>
      <c r="C617" s="13"/>
      <c r="D617" s="13"/>
      <c r="E617" s="13"/>
      <c r="F617" s="13"/>
      <c r="G617" s="13"/>
      <c r="H617" s="13"/>
      <c r="I617" s="14"/>
      <c r="J617" s="13"/>
    </row>
    <row r="618" customFormat="false" ht="15" hidden="false" customHeight="false" outlineLevel="0" collapsed="false">
      <c r="A618" s="12" t="str">
        <f aca="false">IF(B618&lt;&gt;"","CS-"&amp;TEXT(615,"000"),"")</f>
        <v/>
      </c>
      <c r="B618" s="13"/>
      <c r="C618" s="13"/>
      <c r="D618" s="13"/>
      <c r="E618" s="13"/>
      <c r="F618" s="13"/>
      <c r="G618" s="13"/>
      <c r="H618" s="13"/>
      <c r="I618" s="14"/>
      <c r="J618" s="13"/>
    </row>
    <row r="619" customFormat="false" ht="15" hidden="false" customHeight="false" outlineLevel="0" collapsed="false">
      <c r="A619" s="12" t="str">
        <f aca="false">IF(B619&lt;&gt;"","CS-"&amp;TEXT(616,"000"),"")</f>
        <v/>
      </c>
      <c r="B619" s="13"/>
      <c r="C619" s="13"/>
      <c r="D619" s="13"/>
      <c r="E619" s="13"/>
      <c r="F619" s="13"/>
      <c r="G619" s="13"/>
      <c r="H619" s="13"/>
      <c r="I619" s="14"/>
      <c r="J619" s="13"/>
    </row>
    <row r="620" customFormat="false" ht="15" hidden="false" customHeight="false" outlineLevel="0" collapsed="false">
      <c r="A620" s="12" t="str">
        <f aca="false">IF(B620&lt;&gt;"","CS-"&amp;TEXT(617,"000"),"")</f>
        <v/>
      </c>
      <c r="B620" s="13"/>
      <c r="C620" s="13"/>
      <c r="D620" s="13"/>
      <c r="E620" s="13"/>
      <c r="F620" s="13"/>
      <c r="G620" s="13"/>
      <c r="H620" s="13"/>
      <c r="I620" s="14"/>
      <c r="J620" s="13"/>
    </row>
    <row r="621" customFormat="false" ht="15" hidden="false" customHeight="false" outlineLevel="0" collapsed="false">
      <c r="A621" s="12" t="str">
        <f aca="false">IF(B621&lt;&gt;"","CS-"&amp;TEXT(618,"000"),"")</f>
        <v/>
      </c>
      <c r="B621" s="13"/>
      <c r="C621" s="13"/>
      <c r="D621" s="13"/>
      <c r="E621" s="13"/>
      <c r="F621" s="13"/>
      <c r="G621" s="13"/>
      <c r="H621" s="13"/>
      <c r="I621" s="14"/>
      <c r="J621" s="13"/>
    </row>
    <row r="622" customFormat="false" ht="15" hidden="false" customHeight="false" outlineLevel="0" collapsed="false">
      <c r="A622" s="12" t="str">
        <f aca="false">IF(B622&lt;&gt;"","CS-"&amp;TEXT(619,"000"),"")</f>
        <v/>
      </c>
      <c r="B622" s="13"/>
      <c r="C622" s="13"/>
      <c r="D622" s="13"/>
      <c r="E622" s="13"/>
      <c r="F622" s="13"/>
      <c r="G622" s="13"/>
      <c r="H622" s="13"/>
      <c r="I622" s="14"/>
      <c r="J622" s="13"/>
    </row>
    <row r="623" customFormat="false" ht="15" hidden="false" customHeight="false" outlineLevel="0" collapsed="false">
      <c r="A623" s="12" t="str">
        <f aca="false">IF(B623&lt;&gt;"","CS-"&amp;TEXT(620,"000"),"")</f>
        <v/>
      </c>
      <c r="B623" s="13"/>
      <c r="C623" s="13"/>
      <c r="D623" s="13"/>
      <c r="E623" s="13"/>
      <c r="F623" s="13"/>
      <c r="G623" s="13"/>
      <c r="H623" s="13"/>
      <c r="I623" s="14"/>
      <c r="J623" s="13"/>
    </row>
    <row r="624" customFormat="false" ht="15" hidden="false" customHeight="false" outlineLevel="0" collapsed="false">
      <c r="A624" s="12" t="str">
        <f aca="false">IF(B624&lt;&gt;"","CS-"&amp;TEXT(621,"000"),"")</f>
        <v/>
      </c>
      <c r="B624" s="13"/>
      <c r="C624" s="13"/>
      <c r="D624" s="13"/>
      <c r="E624" s="13"/>
      <c r="F624" s="13"/>
      <c r="G624" s="13"/>
      <c r="H624" s="13"/>
      <c r="I624" s="14"/>
      <c r="J624" s="13"/>
    </row>
    <row r="625" customFormat="false" ht="15" hidden="false" customHeight="false" outlineLevel="0" collapsed="false">
      <c r="A625" s="12" t="str">
        <f aca="false">IF(B625&lt;&gt;"","CS-"&amp;TEXT(622,"000"),"")</f>
        <v/>
      </c>
      <c r="B625" s="13"/>
      <c r="C625" s="13"/>
      <c r="D625" s="13"/>
      <c r="E625" s="13"/>
      <c r="F625" s="13"/>
      <c r="G625" s="13"/>
      <c r="H625" s="13"/>
      <c r="I625" s="14"/>
      <c r="J625" s="13"/>
    </row>
    <row r="626" customFormat="false" ht="15" hidden="false" customHeight="false" outlineLevel="0" collapsed="false">
      <c r="A626" s="12" t="str">
        <f aca="false">IF(B626&lt;&gt;"","CS-"&amp;TEXT(623,"000"),"")</f>
        <v/>
      </c>
      <c r="B626" s="13"/>
      <c r="C626" s="13"/>
      <c r="D626" s="13"/>
      <c r="E626" s="13"/>
      <c r="F626" s="13"/>
      <c r="G626" s="13"/>
      <c r="H626" s="13"/>
      <c r="I626" s="14"/>
      <c r="J626" s="13"/>
    </row>
    <row r="627" customFormat="false" ht="15" hidden="false" customHeight="false" outlineLevel="0" collapsed="false">
      <c r="A627" s="12" t="str">
        <f aca="false">IF(B627&lt;&gt;"","CS-"&amp;TEXT(624,"000"),"")</f>
        <v/>
      </c>
      <c r="B627" s="13"/>
      <c r="C627" s="13"/>
      <c r="D627" s="13"/>
      <c r="E627" s="13"/>
      <c r="F627" s="13"/>
      <c r="G627" s="13"/>
      <c r="H627" s="13"/>
      <c r="I627" s="14"/>
      <c r="J627" s="13"/>
    </row>
    <row r="628" customFormat="false" ht="15" hidden="false" customHeight="false" outlineLevel="0" collapsed="false">
      <c r="A628" s="12" t="str">
        <f aca="false">IF(B628&lt;&gt;"","CS-"&amp;TEXT(625,"000"),"")</f>
        <v/>
      </c>
      <c r="B628" s="13"/>
      <c r="C628" s="13"/>
      <c r="D628" s="13"/>
      <c r="E628" s="13"/>
      <c r="F628" s="13"/>
      <c r="G628" s="13"/>
      <c r="H628" s="13"/>
      <c r="I628" s="14"/>
      <c r="J628" s="13"/>
    </row>
    <row r="629" customFormat="false" ht="15" hidden="false" customHeight="false" outlineLevel="0" collapsed="false">
      <c r="A629" s="12" t="str">
        <f aca="false">IF(B629&lt;&gt;"","CS-"&amp;TEXT(626,"000"),"")</f>
        <v/>
      </c>
      <c r="B629" s="13"/>
      <c r="C629" s="13"/>
      <c r="D629" s="13"/>
      <c r="E629" s="13"/>
      <c r="F629" s="13"/>
      <c r="G629" s="13"/>
      <c r="H629" s="13"/>
      <c r="I629" s="14"/>
      <c r="J629" s="13"/>
    </row>
    <row r="630" customFormat="false" ht="15" hidden="false" customHeight="false" outlineLevel="0" collapsed="false">
      <c r="A630" s="12" t="str">
        <f aca="false">IF(B630&lt;&gt;"","CS-"&amp;TEXT(627,"000"),"")</f>
        <v/>
      </c>
      <c r="B630" s="13"/>
      <c r="C630" s="13"/>
      <c r="D630" s="13"/>
      <c r="E630" s="13"/>
      <c r="F630" s="13"/>
      <c r="G630" s="13"/>
      <c r="H630" s="13"/>
      <c r="I630" s="14"/>
      <c r="J630" s="13"/>
    </row>
    <row r="631" customFormat="false" ht="15" hidden="false" customHeight="false" outlineLevel="0" collapsed="false">
      <c r="A631" s="12" t="str">
        <f aca="false">IF(B631&lt;&gt;"","CS-"&amp;TEXT(628,"000"),"")</f>
        <v/>
      </c>
      <c r="B631" s="13"/>
      <c r="C631" s="13"/>
      <c r="D631" s="13"/>
      <c r="E631" s="13"/>
      <c r="F631" s="13"/>
      <c r="G631" s="13"/>
      <c r="H631" s="13"/>
      <c r="I631" s="14"/>
      <c r="J631" s="13"/>
    </row>
    <row r="632" customFormat="false" ht="15" hidden="false" customHeight="false" outlineLevel="0" collapsed="false">
      <c r="A632" s="12" t="str">
        <f aca="false">IF(B632&lt;&gt;"","CS-"&amp;TEXT(629,"000"),"")</f>
        <v/>
      </c>
      <c r="B632" s="13"/>
      <c r="C632" s="13"/>
      <c r="D632" s="13"/>
      <c r="E632" s="13"/>
      <c r="F632" s="13"/>
      <c r="G632" s="13"/>
      <c r="H632" s="13"/>
      <c r="I632" s="14"/>
      <c r="J632" s="13"/>
    </row>
    <row r="633" customFormat="false" ht="15" hidden="false" customHeight="false" outlineLevel="0" collapsed="false">
      <c r="A633" s="12" t="str">
        <f aca="false">IF(B633&lt;&gt;"","CS-"&amp;TEXT(630,"000"),"")</f>
        <v/>
      </c>
      <c r="B633" s="13"/>
      <c r="C633" s="13"/>
      <c r="D633" s="13"/>
      <c r="E633" s="13"/>
      <c r="F633" s="13"/>
      <c r="G633" s="13"/>
      <c r="H633" s="13"/>
      <c r="I633" s="14"/>
      <c r="J633" s="13"/>
    </row>
    <row r="634" customFormat="false" ht="15" hidden="false" customHeight="false" outlineLevel="0" collapsed="false">
      <c r="A634" s="12" t="str">
        <f aca="false">IF(B634&lt;&gt;"","CS-"&amp;TEXT(631,"000"),"")</f>
        <v/>
      </c>
      <c r="B634" s="13"/>
      <c r="C634" s="13"/>
      <c r="D634" s="13"/>
      <c r="E634" s="13"/>
      <c r="F634" s="13"/>
      <c r="G634" s="13"/>
      <c r="H634" s="13"/>
      <c r="I634" s="14"/>
      <c r="J634" s="13"/>
    </row>
    <row r="635" customFormat="false" ht="15" hidden="false" customHeight="false" outlineLevel="0" collapsed="false">
      <c r="A635" s="12" t="str">
        <f aca="false">IF(B635&lt;&gt;"","CS-"&amp;TEXT(632,"000"),"")</f>
        <v/>
      </c>
      <c r="B635" s="13"/>
      <c r="C635" s="13"/>
      <c r="D635" s="13"/>
      <c r="E635" s="13"/>
      <c r="F635" s="13"/>
      <c r="G635" s="13"/>
      <c r="H635" s="13"/>
      <c r="I635" s="14"/>
      <c r="J635" s="13"/>
    </row>
    <row r="636" customFormat="false" ht="15" hidden="false" customHeight="false" outlineLevel="0" collapsed="false">
      <c r="A636" s="12" t="str">
        <f aca="false">IF(B636&lt;&gt;"","CS-"&amp;TEXT(633,"000"),"")</f>
        <v/>
      </c>
      <c r="B636" s="13"/>
      <c r="C636" s="13"/>
      <c r="D636" s="13"/>
      <c r="E636" s="13"/>
      <c r="F636" s="13"/>
      <c r="G636" s="13"/>
      <c r="H636" s="13"/>
      <c r="I636" s="14"/>
      <c r="J636" s="13"/>
    </row>
    <row r="637" customFormat="false" ht="15" hidden="false" customHeight="false" outlineLevel="0" collapsed="false">
      <c r="A637" s="12" t="str">
        <f aca="false">IF(B637&lt;&gt;"","CS-"&amp;TEXT(634,"000"),"")</f>
        <v/>
      </c>
      <c r="B637" s="13"/>
      <c r="C637" s="13"/>
      <c r="D637" s="13"/>
      <c r="E637" s="13"/>
      <c r="F637" s="13"/>
      <c r="G637" s="13"/>
      <c r="H637" s="13"/>
      <c r="I637" s="14"/>
      <c r="J637" s="13"/>
    </row>
    <row r="638" customFormat="false" ht="15" hidden="false" customHeight="false" outlineLevel="0" collapsed="false">
      <c r="A638" s="12" t="str">
        <f aca="false">IF(B638&lt;&gt;"","CS-"&amp;TEXT(635,"000"),"")</f>
        <v/>
      </c>
      <c r="B638" s="13"/>
      <c r="C638" s="13"/>
      <c r="D638" s="13"/>
      <c r="E638" s="13"/>
      <c r="F638" s="13"/>
      <c r="G638" s="13"/>
      <c r="H638" s="13"/>
      <c r="I638" s="14"/>
      <c r="J638" s="13"/>
    </row>
    <row r="639" customFormat="false" ht="15" hidden="false" customHeight="false" outlineLevel="0" collapsed="false">
      <c r="A639" s="12" t="str">
        <f aca="false">IF(B639&lt;&gt;"","CS-"&amp;TEXT(636,"000"),"")</f>
        <v/>
      </c>
      <c r="B639" s="13"/>
      <c r="C639" s="13"/>
      <c r="D639" s="13"/>
      <c r="E639" s="13"/>
      <c r="F639" s="13"/>
      <c r="G639" s="13"/>
      <c r="H639" s="13"/>
      <c r="I639" s="14"/>
      <c r="J639" s="13"/>
    </row>
    <row r="640" customFormat="false" ht="15" hidden="false" customHeight="false" outlineLevel="0" collapsed="false">
      <c r="A640" s="12" t="str">
        <f aca="false">IF(B640&lt;&gt;"","CS-"&amp;TEXT(637,"000"),"")</f>
        <v/>
      </c>
      <c r="B640" s="13"/>
      <c r="C640" s="13"/>
      <c r="D640" s="13"/>
      <c r="E640" s="13"/>
      <c r="F640" s="13"/>
      <c r="G640" s="13"/>
      <c r="H640" s="13"/>
      <c r="I640" s="14"/>
      <c r="J640" s="13"/>
    </row>
    <row r="641" customFormat="false" ht="15" hidden="false" customHeight="false" outlineLevel="0" collapsed="false">
      <c r="A641" s="12" t="str">
        <f aca="false">IF(B641&lt;&gt;"","CS-"&amp;TEXT(638,"000"),"")</f>
        <v/>
      </c>
      <c r="B641" s="13"/>
      <c r="C641" s="13"/>
      <c r="D641" s="13"/>
      <c r="E641" s="13"/>
      <c r="F641" s="13"/>
      <c r="G641" s="13"/>
      <c r="H641" s="13"/>
      <c r="I641" s="14"/>
      <c r="J641" s="13"/>
    </row>
    <row r="642" customFormat="false" ht="15" hidden="false" customHeight="false" outlineLevel="0" collapsed="false">
      <c r="A642" s="12" t="str">
        <f aca="false">IF(B642&lt;&gt;"","CS-"&amp;TEXT(639,"000"),"")</f>
        <v/>
      </c>
      <c r="B642" s="13"/>
      <c r="C642" s="13"/>
      <c r="D642" s="13"/>
      <c r="E642" s="13"/>
      <c r="F642" s="13"/>
      <c r="G642" s="13"/>
      <c r="H642" s="13"/>
      <c r="I642" s="14"/>
      <c r="J642" s="13"/>
    </row>
    <row r="643" customFormat="false" ht="15" hidden="false" customHeight="false" outlineLevel="0" collapsed="false">
      <c r="A643" s="12" t="str">
        <f aca="false">IF(B643&lt;&gt;"","CS-"&amp;TEXT(640,"000"),"")</f>
        <v/>
      </c>
      <c r="B643" s="13"/>
      <c r="C643" s="13"/>
      <c r="D643" s="13"/>
      <c r="E643" s="13"/>
      <c r="F643" s="13"/>
      <c r="G643" s="13"/>
      <c r="H643" s="13"/>
      <c r="I643" s="14"/>
      <c r="J643" s="13"/>
    </row>
    <row r="644" customFormat="false" ht="15" hidden="false" customHeight="false" outlineLevel="0" collapsed="false">
      <c r="A644" s="12" t="str">
        <f aca="false">IF(B644&lt;&gt;"","CS-"&amp;TEXT(641,"000"),"")</f>
        <v/>
      </c>
      <c r="B644" s="13"/>
      <c r="C644" s="13"/>
      <c r="D644" s="13"/>
      <c r="E644" s="13"/>
      <c r="F644" s="13"/>
      <c r="G644" s="13"/>
      <c r="H644" s="13"/>
      <c r="I644" s="14"/>
      <c r="J644" s="13"/>
    </row>
    <row r="645" customFormat="false" ht="15" hidden="false" customHeight="false" outlineLevel="0" collapsed="false">
      <c r="A645" s="12" t="str">
        <f aca="false">IF(B645&lt;&gt;"","CS-"&amp;TEXT(642,"000"),"")</f>
        <v/>
      </c>
      <c r="B645" s="13"/>
      <c r="C645" s="13"/>
      <c r="D645" s="13"/>
      <c r="E645" s="13"/>
      <c r="F645" s="13"/>
      <c r="G645" s="13"/>
      <c r="H645" s="13"/>
      <c r="I645" s="14"/>
      <c r="J645" s="13"/>
    </row>
    <row r="646" customFormat="false" ht="15" hidden="false" customHeight="false" outlineLevel="0" collapsed="false">
      <c r="A646" s="12" t="str">
        <f aca="false">IF(B646&lt;&gt;"","CS-"&amp;TEXT(643,"000"),"")</f>
        <v/>
      </c>
      <c r="B646" s="13"/>
      <c r="C646" s="13"/>
      <c r="D646" s="13"/>
      <c r="E646" s="13"/>
      <c r="F646" s="13"/>
      <c r="G646" s="13"/>
      <c r="H646" s="13"/>
      <c r="I646" s="14"/>
      <c r="J646" s="13"/>
    </row>
    <row r="647" customFormat="false" ht="15" hidden="false" customHeight="false" outlineLevel="0" collapsed="false">
      <c r="A647" s="12" t="str">
        <f aca="false">IF(B647&lt;&gt;"","CS-"&amp;TEXT(644,"000"),"")</f>
        <v/>
      </c>
      <c r="B647" s="13"/>
      <c r="C647" s="13"/>
      <c r="D647" s="13"/>
      <c r="E647" s="13"/>
      <c r="F647" s="13"/>
      <c r="G647" s="13"/>
      <c r="H647" s="13"/>
      <c r="I647" s="14"/>
      <c r="J647" s="13"/>
    </row>
    <row r="648" customFormat="false" ht="15" hidden="false" customHeight="false" outlineLevel="0" collapsed="false">
      <c r="A648" s="12" t="str">
        <f aca="false">IF(B648&lt;&gt;"","CS-"&amp;TEXT(645,"000"),"")</f>
        <v/>
      </c>
      <c r="B648" s="13"/>
      <c r="C648" s="13"/>
      <c r="D648" s="13"/>
      <c r="E648" s="13"/>
      <c r="F648" s="13"/>
      <c r="G648" s="13"/>
      <c r="H648" s="13"/>
      <c r="I648" s="14"/>
      <c r="J648" s="13"/>
    </row>
    <row r="649" customFormat="false" ht="15" hidden="false" customHeight="false" outlineLevel="0" collapsed="false">
      <c r="A649" s="12" t="str">
        <f aca="false">IF(B649&lt;&gt;"","CS-"&amp;TEXT(646,"000"),"")</f>
        <v/>
      </c>
      <c r="B649" s="13"/>
      <c r="C649" s="13"/>
      <c r="D649" s="13"/>
      <c r="E649" s="13"/>
      <c r="F649" s="13"/>
      <c r="G649" s="13"/>
      <c r="H649" s="13"/>
      <c r="I649" s="14"/>
      <c r="J649" s="13"/>
    </row>
    <row r="650" customFormat="false" ht="15" hidden="false" customHeight="false" outlineLevel="0" collapsed="false">
      <c r="A650" s="12" t="str">
        <f aca="false">IF(B650&lt;&gt;"","CS-"&amp;TEXT(647,"000"),"")</f>
        <v/>
      </c>
      <c r="B650" s="13"/>
      <c r="C650" s="13"/>
      <c r="D650" s="13"/>
      <c r="E650" s="13"/>
      <c r="F650" s="13"/>
      <c r="G650" s="13"/>
      <c r="H650" s="13"/>
      <c r="I650" s="14"/>
      <c r="J650" s="13"/>
    </row>
    <row r="651" customFormat="false" ht="15" hidden="false" customHeight="false" outlineLevel="0" collapsed="false">
      <c r="A651" s="12" t="str">
        <f aca="false">IF(B651&lt;&gt;"","CS-"&amp;TEXT(648,"000"),"")</f>
        <v/>
      </c>
      <c r="B651" s="13"/>
      <c r="C651" s="13"/>
      <c r="D651" s="13"/>
      <c r="E651" s="13"/>
      <c r="F651" s="13"/>
      <c r="G651" s="13"/>
      <c r="H651" s="13"/>
      <c r="I651" s="14"/>
      <c r="J651" s="13"/>
    </row>
    <row r="652" customFormat="false" ht="15" hidden="false" customHeight="false" outlineLevel="0" collapsed="false">
      <c r="A652" s="12" t="str">
        <f aca="false">IF(B652&lt;&gt;"","CS-"&amp;TEXT(649,"000"),"")</f>
        <v/>
      </c>
      <c r="B652" s="13"/>
      <c r="C652" s="13"/>
      <c r="D652" s="13"/>
      <c r="E652" s="13"/>
      <c r="F652" s="13"/>
      <c r="G652" s="13"/>
      <c r="H652" s="13"/>
      <c r="I652" s="14"/>
      <c r="J652" s="13"/>
    </row>
    <row r="653" customFormat="false" ht="15" hidden="false" customHeight="false" outlineLevel="0" collapsed="false">
      <c r="A653" s="12" t="str">
        <f aca="false">IF(B653&lt;&gt;"","CS-"&amp;TEXT(650,"000"),"")</f>
        <v/>
      </c>
      <c r="B653" s="13"/>
      <c r="C653" s="13"/>
      <c r="D653" s="13"/>
      <c r="E653" s="13"/>
      <c r="F653" s="13"/>
      <c r="G653" s="13"/>
      <c r="H653" s="13"/>
      <c r="I653" s="14"/>
      <c r="J653" s="13"/>
    </row>
    <row r="654" customFormat="false" ht="15" hidden="false" customHeight="false" outlineLevel="0" collapsed="false">
      <c r="A654" s="12" t="str">
        <f aca="false">IF(B654&lt;&gt;"","CS-"&amp;TEXT(651,"000"),"")</f>
        <v/>
      </c>
      <c r="B654" s="13"/>
      <c r="C654" s="13"/>
      <c r="D654" s="13"/>
      <c r="E654" s="13"/>
      <c r="F654" s="13"/>
      <c r="G654" s="13"/>
      <c r="H654" s="13"/>
      <c r="I654" s="14"/>
      <c r="J654" s="13"/>
    </row>
    <row r="655" customFormat="false" ht="15" hidden="false" customHeight="false" outlineLevel="0" collapsed="false">
      <c r="A655" s="12" t="str">
        <f aca="false">IF(B655&lt;&gt;"","CS-"&amp;TEXT(652,"000"),"")</f>
        <v/>
      </c>
      <c r="B655" s="13"/>
      <c r="C655" s="13"/>
      <c r="D655" s="13"/>
      <c r="E655" s="13"/>
      <c r="F655" s="13"/>
      <c r="G655" s="13"/>
      <c r="H655" s="13"/>
      <c r="I655" s="14"/>
      <c r="J655" s="13"/>
    </row>
    <row r="656" customFormat="false" ht="15" hidden="false" customHeight="false" outlineLevel="0" collapsed="false">
      <c r="A656" s="12" t="str">
        <f aca="false">IF(B656&lt;&gt;"","CS-"&amp;TEXT(653,"000"),"")</f>
        <v/>
      </c>
      <c r="B656" s="13"/>
      <c r="C656" s="13"/>
      <c r="D656" s="13"/>
      <c r="E656" s="13"/>
      <c r="F656" s="13"/>
      <c r="G656" s="13"/>
      <c r="H656" s="13"/>
      <c r="I656" s="14"/>
      <c r="J656" s="13"/>
    </row>
    <row r="657" customFormat="false" ht="15" hidden="false" customHeight="false" outlineLevel="0" collapsed="false">
      <c r="A657" s="12" t="str">
        <f aca="false">IF(B657&lt;&gt;"","CS-"&amp;TEXT(654,"000"),"")</f>
        <v/>
      </c>
      <c r="B657" s="13"/>
      <c r="C657" s="13"/>
      <c r="D657" s="13"/>
      <c r="E657" s="13"/>
      <c r="F657" s="13"/>
      <c r="G657" s="13"/>
      <c r="H657" s="13"/>
      <c r="I657" s="14"/>
      <c r="J657" s="13"/>
    </row>
    <row r="658" customFormat="false" ht="15" hidden="false" customHeight="false" outlineLevel="0" collapsed="false">
      <c r="A658" s="12" t="str">
        <f aca="false">IF(B658&lt;&gt;"","CS-"&amp;TEXT(655,"000"),"")</f>
        <v/>
      </c>
      <c r="B658" s="13"/>
      <c r="C658" s="13"/>
      <c r="D658" s="13"/>
      <c r="E658" s="13"/>
      <c r="F658" s="13"/>
      <c r="G658" s="13"/>
      <c r="H658" s="13"/>
      <c r="I658" s="14"/>
      <c r="J658" s="13"/>
    </row>
    <row r="659" customFormat="false" ht="15" hidden="false" customHeight="false" outlineLevel="0" collapsed="false">
      <c r="A659" s="12" t="str">
        <f aca="false">IF(B659&lt;&gt;"","CS-"&amp;TEXT(656,"000"),"")</f>
        <v/>
      </c>
      <c r="B659" s="13"/>
      <c r="C659" s="13"/>
      <c r="D659" s="13"/>
      <c r="E659" s="13"/>
      <c r="F659" s="13"/>
      <c r="G659" s="13"/>
      <c r="H659" s="13"/>
      <c r="I659" s="14"/>
      <c r="J659" s="13"/>
    </row>
    <row r="660" customFormat="false" ht="15" hidden="false" customHeight="false" outlineLevel="0" collapsed="false">
      <c r="A660" s="12" t="str">
        <f aca="false">IF(B660&lt;&gt;"","CS-"&amp;TEXT(657,"000"),"")</f>
        <v/>
      </c>
      <c r="B660" s="13"/>
      <c r="C660" s="13"/>
      <c r="D660" s="13"/>
      <c r="E660" s="13"/>
      <c r="F660" s="13"/>
      <c r="G660" s="13"/>
      <c r="H660" s="13"/>
      <c r="I660" s="14"/>
      <c r="J660" s="13"/>
    </row>
    <row r="661" customFormat="false" ht="15" hidden="false" customHeight="false" outlineLevel="0" collapsed="false">
      <c r="A661" s="12" t="str">
        <f aca="false">IF(B661&lt;&gt;"","CS-"&amp;TEXT(658,"000"),"")</f>
        <v/>
      </c>
      <c r="B661" s="13"/>
      <c r="C661" s="13"/>
      <c r="D661" s="13"/>
      <c r="E661" s="13"/>
      <c r="F661" s="13"/>
      <c r="G661" s="13"/>
      <c r="H661" s="13"/>
      <c r="I661" s="14"/>
      <c r="J661" s="13"/>
    </row>
    <row r="662" customFormat="false" ht="15" hidden="false" customHeight="false" outlineLevel="0" collapsed="false">
      <c r="A662" s="12" t="str">
        <f aca="false">IF(B662&lt;&gt;"","CS-"&amp;TEXT(659,"000"),"")</f>
        <v/>
      </c>
      <c r="B662" s="13"/>
      <c r="C662" s="13"/>
      <c r="D662" s="13"/>
      <c r="E662" s="13"/>
      <c r="F662" s="13"/>
      <c r="G662" s="13"/>
      <c r="H662" s="13"/>
      <c r="I662" s="14"/>
      <c r="J662" s="13"/>
    </row>
    <row r="663" customFormat="false" ht="15" hidden="false" customHeight="false" outlineLevel="0" collapsed="false">
      <c r="A663" s="12" t="str">
        <f aca="false">IF(B663&lt;&gt;"","CS-"&amp;TEXT(660,"000"),"")</f>
        <v/>
      </c>
      <c r="B663" s="13"/>
      <c r="C663" s="13"/>
      <c r="D663" s="13"/>
      <c r="E663" s="13"/>
      <c r="F663" s="13"/>
      <c r="G663" s="13"/>
      <c r="H663" s="13"/>
      <c r="I663" s="14"/>
      <c r="J663" s="13"/>
    </row>
    <row r="664" customFormat="false" ht="15" hidden="false" customHeight="false" outlineLevel="0" collapsed="false">
      <c r="A664" s="12" t="str">
        <f aca="false">IF(B664&lt;&gt;"","CS-"&amp;TEXT(661,"000"),"")</f>
        <v/>
      </c>
      <c r="B664" s="13"/>
      <c r="C664" s="13"/>
      <c r="D664" s="13"/>
      <c r="E664" s="13"/>
      <c r="F664" s="13"/>
      <c r="G664" s="13"/>
      <c r="H664" s="13"/>
      <c r="I664" s="14"/>
      <c r="J664" s="13"/>
    </row>
    <row r="665" customFormat="false" ht="15" hidden="false" customHeight="false" outlineLevel="0" collapsed="false">
      <c r="A665" s="12" t="str">
        <f aca="false">IF(B665&lt;&gt;"","CS-"&amp;TEXT(662,"000"),"")</f>
        <v/>
      </c>
      <c r="B665" s="13"/>
      <c r="C665" s="13"/>
      <c r="D665" s="13"/>
      <c r="E665" s="13"/>
      <c r="F665" s="13"/>
      <c r="G665" s="13"/>
      <c r="H665" s="13"/>
      <c r="I665" s="14"/>
      <c r="J665" s="13"/>
    </row>
    <row r="666" customFormat="false" ht="15" hidden="false" customHeight="false" outlineLevel="0" collapsed="false">
      <c r="A666" s="12" t="str">
        <f aca="false">IF(B666&lt;&gt;"","CS-"&amp;TEXT(663,"000"),"")</f>
        <v/>
      </c>
      <c r="B666" s="13"/>
      <c r="C666" s="13"/>
      <c r="D666" s="13"/>
      <c r="E666" s="13"/>
      <c r="F666" s="13"/>
      <c r="G666" s="13"/>
      <c r="H666" s="13"/>
      <c r="I666" s="14"/>
      <c r="J666" s="13"/>
    </row>
    <row r="667" customFormat="false" ht="15" hidden="false" customHeight="false" outlineLevel="0" collapsed="false">
      <c r="A667" s="12" t="str">
        <f aca="false">IF(B667&lt;&gt;"","CS-"&amp;TEXT(664,"000"),"")</f>
        <v/>
      </c>
      <c r="B667" s="13"/>
      <c r="C667" s="13"/>
      <c r="D667" s="13"/>
      <c r="E667" s="13"/>
      <c r="F667" s="13"/>
      <c r="G667" s="13"/>
      <c r="H667" s="13"/>
      <c r="I667" s="14"/>
      <c r="J667" s="13"/>
    </row>
    <row r="668" customFormat="false" ht="15" hidden="false" customHeight="false" outlineLevel="0" collapsed="false">
      <c r="A668" s="12" t="str">
        <f aca="false">IF(B668&lt;&gt;"","CS-"&amp;TEXT(665,"000"),"")</f>
        <v/>
      </c>
      <c r="B668" s="13"/>
      <c r="C668" s="13"/>
      <c r="D668" s="13"/>
      <c r="E668" s="13"/>
      <c r="F668" s="13"/>
      <c r="G668" s="13"/>
      <c r="H668" s="13"/>
      <c r="I668" s="14"/>
      <c r="J668" s="13"/>
    </row>
    <row r="669" customFormat="false" ht="15" hidden="false" customHeight="false" outlineLevel="0" collapsed="false">
      <c r="A669" s="12" t="str">
        <f aca="false">IF(B669&lt;&gt;"","CS-"&amp;TEXT(666,"000"),"")</f>
        <v/>
      </c>
      <c r="B669" s="13"/>
      <c r="C669" s="13"/>
      <c r="D669" s="13"/>
      <c r="E669" s="13"/>
      <c r="F669" s="13"/>
      <c r="G669" s="13"/>
      <c r="H669" s="13"/>
      <c r="I669" s="14"/>
      <c r="J669" s="13"/>
    </row>
    <row r="670" customFormat="false" ht="15" hidden="false" customHeight="false" outlineLevel="0" collapsed="false">
      <c r="A670" s="12" t="str">
        <f aca="false">IF(B670&lt;&gt;"","CS-"&amp;TEXT(667,"000"),"")</f>
        <v/>
      </c>
      <c r="B670" s="13"/>
      <c r="C670" s="13"/>
      <c r="D670" s="13"/>
      <c r="E670" s="13"/>
      <c r="F670" s="13"/>
      <c r="G670" s="13"/>
      <c r="H670" s="13"/>
      <c r="I670" s="14"/>
      <c r="J670" s="13"/>
    </row>
    <row r="671" customFormat="false" ht="15" hidden="false" customHeight="false" outlineLevel="0" collapsed="false">
      <c r="A671" s="12" t="str">
        <f aca="false">IF(B671&lt;&gt;"","CS-"&amp;TEXT(668,"000"),"")</f>
        <v/>
      </c>
      <c r="B671" s="13"/>
      <c r="C671" s="13"/>
      <c r="D671" s="13"/>
      <c r="E671" s="13"/>
      <c r="F671" s="13"/>
      <c r="G671" s="13"/>
      <c r="H671" s="13"/>
      <c r="I671" s="14"/>
      <c r="J671" s="13"/>
    </row>
    <row r="672" customFormat="false" ht="15" hidden="false" customHeight="false" outlineLevel="0" collapsed="false">
      <c r="A672" s="12" t="str">
        <f aca="false">IF(B672&lt;&gt;"","CS-"&amp;TEXT(669,"000"),"")</f>
        <v/>
      </c>
      <c r="B672" s="13"/>
      <c r="C672" s="13"/>
      <c r="D672" s="13"/>
      <c r="E672" s="13"/>
      <c r="F672" s="13"/>
      <c r="G672" s="13"/>
      <c r="H672" s="13"/>
      <c r="I672" s="14"/>
      <c r="J672" s="13"/>
    </row>
    <row r="673" customFormat="false" ht="15" hidden="false" customHeight="false" outlineLevel="0" collapsed="false">
      <c r="A673" s="12" t="str">
        <f aca="false">IF(B673&lt;&gt;"","CS-"&amp;TEXT(670,"000"),"")</f>
        <v/>
      </c>
      <c r="B673" s="13"/>
      <c r="C673" s="13"/>
      <c r="D673" s="13"/>
      <c r="E673" s="13"/>
      <c r="F673" s="13"/>
      <c r="G673" s="13"/>
      <c r="H673" s="13"/>
      <c r="I673" s="14"/>
      <c r="J673" s="13"/>
    </row>
    <row r="674" customFormat="false" ht="15" hidden="false" customHeight="false" outlineLevel="0" collapsed="false">
      <c r="A674" s="12" t="str">
        <f aca="false">IF(B674&lt;&gt;"","CS-"&amp;TEXT(671,"000"),"")</f>
        <v/>
      </c>
      <c r="B674" s="13"/>
      <c r="C674" s="13"/>
      <c r="D674" s="13"/>
      <c r="E674" s="13"/>
      <c r="F674" s="13"/>
      <c r="G674" s="13"/>
      <c r="H674" s="13"/>
      <c r="I674" s="14"/>
      <c r="J674" s="13"/>
    </row>
    <row r="675" customFormat="false" ht="15" hidden="false" customHeight="false" outlineLevel="0" collapsed="false">
      <c r="A675" s="12" t="str">
        <f aca="false">IF(B675&lt;&gt;"","CS-"&amp;TEXT(672,"000"),"")</f>
        <v/>
      </c>
      <c r="B675" s="13"/>
      <c r="C675" s="13"/>
      <c r="D675" s="13"/>
      <c r="E675" s="13"/>
      <c r="F675" s="13"/>
      <c r="G675" s="13"/>
      <c r="H675" s="13"/>
      <c r="I675" s="14"/>
      <c r="J675" s="13"/>
    </row>
    <row r="676" customFormat="false" ht="15" hidden="false" customHeight="false" outlineLevel="0" collapsed="false">
      <c r="A676" s="12" t="str">
        <f aca="false">IF(B676&lt;&gt;"","CS-"&amp;TEXT(673,"000"),"")</f>
        <v/>
      </c>
      <c r="B676" s="13"/>
      <c r="C676" s="13"/>
      <c r="D676" s="13"/>
      <c r="E676" s="13"/>
      <c r="F676" s="13"/>
      <c r="G676" s="13"/>
      <c r="H676" s="13"/>
      <c r="I676" s="14"/>
      <c r="J676" s="13"/>
    </row>
    <row r="677" customFormat="false" ht="15" hidden="false" customHeight="false" outlineLevel="0" collapsed="false">
      <c r="A677" s="12" t="str">
        <f aca="false">IF(B677&lt;&gt;"","CS-"&amp;TEXT(674,"000"),"")</f>
        <v/>
      </c>
      <c r="B677" s="13"/>
      <c r="C677" s="13"/>
      <c r="D677" s="13"/>
      <c r="E677" s="13"/>
      <c r="F677" s="13"/>
      <c r="G677" s="13"/>
      <c r="H677" s="13"/>
      <c r="I677" s="14"/>
      <c r="J677" s="13"/>
    </row>
    <row r="678" customFormat="false" ht="15" hidden="false" customHeight="false" outlineLevel="0" collapsed="false">
      <c r="A678" s="12" t="str">
        <f aca="false">IF(B678&lt;&gt;"","CS-"&amp;TEXT(675,"000"),"")</f>
        <v/>
      </c>
      <c r="B678" s="13"/>
      <c r="C678" s="13"/>
      <c r="D678" s="13"/>
      <c r="E678" s="13"/>
      <c r="F678" s="13"/>
      <c r="G678" s="13"/>
      <c r="H678" s="13"/>
      <c r="I678" s="14"/>
      <c r="J678" s="13"/>
    </row>
    <row r="679" customFormat="false" ht="15" hidden="false" customHeight="false" outlineLevel="0" collapsed="false">
      <c r="A679" s="12" t="str">
        <f aca="false">IF(B679&lt;&gt;"","CS-"&amp;TEXT(676,"000"),"")</f>
        <v/>
      </c>
      <c r="B679" s="13"/>
      <c r="C679" s="13"/>
      <c r="D679" s="13"/>
      <c r="E679" s="13"/>
      <c r="F679" s="13"/>
      <c r="G679" s="13"/>
      <c r="H679" s="13"/>
      <c r="I679" s="14"/>
      <c r="J679" s="13"/>
    </row>
    <row r="680" customFormat="false" ht="15" hidden="false" customHeight="false" outlineLevel="0" collapsed="false">
      <c r="A680" s="12" t="str">
        <f aca="false">IF(B680&lt;&gt;"","CS-"&amp;TEXT(677,"000"),"")</f>
        <v/>
      </c>
      <c r="B680" s="13"/>
      <c r="C680" s="13"/>
      <c r="D680" s="13"/>
      <c r="E680" s="13"/>
      <c r="F680" s="13"/>
      <c r="G680" s="13"/>
      <c r="H680" s="13"/>
      <c r="I680" s="14"/>
      <c r="J680" s="13"/>
    </row>
    <row r="681" customFormat="false" ht="15" hidden="false" customHeight="false" outlineLevel="0" collapsed="false">
      <c r="A681" s="12" t="str">
        <f aca="false">IF(B681&lt;&gt;"","CS-"&amp;TEXT(678,"000"),"")</f>
        <v/>
      </c>
      <c r="B681" s="13"/>
      <c r="C681" s="13"/>
      <c r="D681" s="13"/>
      <c r="E681" s="13"/>
      <c r="F681" s="13"/>
      <c r="G681" s="13"/>
      <c r="H681" s="13"/>
      <c r="I681" s="14"/>
      <c r="J681" s="13"/>
    </row>
    <row r="682" customFormat="false" ht="15" hidden="false" customHeight="false" outlineLevel="0" collapsed="false">
      <c r="A682" s="12" t="str">
        <f aca="false">IF(B682&lt;&gt;"","CS-"&amp;TEXT(679,"000"),"")</f>
        <v/>
      </c>
      <c r="B682" s="13"/>
      <c r="C682" s="13"/>
      <c r="D682" s="13"/>
      <c r="E682" s="13"/>
      <c r="F682" s="13"/>
      <c r="G682" s="13"/>
      <c r="H682" s="13"/>
      <c r="I682" s="14"/>
      <c r="J682" s="13"/>
    </row>
    <row r="683" customFormat="false" ht="15" hidden="false" customHeight="false" outlineLevel="0" collapsed="false">
      <c r="A683" s="12" t="str">
        <f aca="false">IF(B683&lt;&gt;"","CS-"&amp;TEXT(680,"000"),"")</f>
        <v/>
      </c>
      <c r="B683" s="13"/>
      <c r="C683" s="13"/>
      <c r="D683" s="13"/>
      <c r="E683" s="13"/>
      <c r="F683" s="13"/>
      <c r="G683" s="13"/>
      <c r="H683" s="13"/>
      <c r="I683" s="14"/>
      <c r="J683" s="13"/>
    </row>
    <row r="684" customFormat="false" ht="15" hidden="false" customHeight="false" outlineLevel="0" collapsed="false">
      <c r="A684" s="12" t="str">
        <f aca="false">IF(B684&lt;&gt;"","CS-"&amp;TEXT(681,"000"),"")</f>
        <v/>
      </c>
      <c r="B684" s="13"/>
      <c r="C684" s="13"/>
      <c r="D684" s="13"/>
      <c r="E684" s="13"/>
      <c r="F684" s="13"/>
      <c r="G684" s="13"/>
      <c r="H684" s="13"/>
      <c r="I684" s="14"/>
      <c r="J684" s="13"/>
    </row>
    <row r="685" customFormat="false" ht="15" hidden="false" customHeight="false" outlineLevel="0" collapsed="false">
      <c r="A685" s="12" t="str">
        <f aca="false">IF(B685&lt;&gt;"","CS-"&amp;TEXT(682,"000"),"")</f>
        <v/>
      </c>
      <c r="B685" s="13"/>
      <c r="C685" s="13"/>
      <c r="D685" s="13"/>
      <c r="E685" s="13"/>
      <c r="F685" s="13"/>
      <c r="G685" s="13"/>
      <c r="H685" s="13"/>
      <c r="I685" s="14"/>
      <c r="J685" s="13"/>
    </row>
    <row r="686" customFormat="false" ht="15" hidden="false" customHeight="false" outlineLevel="0" collapsed="false">
      <c r="A686" s="12" t="str">
        <f aca="false">IF(B686&lt;&gt;"","CS-"&amp;TEXT(683,"000"),"")</f>
        <v/>
      </c>
      <c r="B686" s="13"/>
      <c r="C686" s="13"/>
      <c r="D686" s="13"/>
      <c r="E686" s="13"/>
      <c r="F686" s="13"/>
      <c r="G686" s="13"/>
      <c r="H686" s="13"/>
      <c r="I686" s="14"/>
      <c r="J686" s="13"/>
    </row>
    <row r="687" customFormat="false" ht="15" hidden="false" customHeight="false" outlineLevel="0" collapsed="false">
      <c r="A687" s="12" t="str">
        <f aca="false">IF(B687&lt;&gt;"","CS-"&amp;TEXT(684,"000"),"")</f>
        <v/>
      </c>
      <c r="B687" s="13"/>
      <c r="C687" s="13"/>
      <c r="D687" s="13"/>
      <c r="E687" s="13"/>
      <c r="F687" s="13"/>
      <c r="G687" s="13"/>
      <c r="H687" s="13"/>
      <c r="I687" s="14"/>
      <c r="J687" s="13"/>
    </row>
    <row r="688" customFormat="false" ht="15" hidden="false" customHeight="false" outlineLevel="0" collapsed="false">
      <c r="A688" s="12" t="str">
        <f aca="false">IF(B688&lt;&gt;"","CS-"&amp;TEXT(685,"000"),"")</f>
        <v/>
      </c>
      <c r="B688" s="13"/>
      <c r="C688" s="13"/>
      <c r="D688" s="13"/>
      <c r="E688" s="13"/>
      <c r="F688" s="13"/>
      <c r="G688" s="13"/>
      <c r="H688" s="13"/>
      <c r="I688" s="14"/>
      <c r="J688" s="13"/>
    </row>
    <row r="689" customFormat="false" ht="15" hidden="false" customHeight="false" outlineLevel="0" collapsed="false">
      <c r="A689" s="12" t="str">
        <f aca="false">IF(B689&lt;&gt;"","CS-"&amp;TEXT(686,"000"),"")</f>
        <v/>
      </c>
      <c r="B689" s="13"/>
      <c r="C689" s="13"/>
      <c r="D689" s="13"/>
      <c r="E689" s="13"/>
      <c r="F689" s="13"/>
      <c r="G689" s="13"/>
      <c r="H689" s="13"/>
      <c r="I689" s="14"/>
      <c r="J689" s="13"/>
    </row>
    <row r="690" customFormat="false" ht="15" hidden="false" customHeight="false" outlineLevel="0" collapsed="false">
      <c r="A690" s="12" t="str">
        <f aca="false">IF(B690&lt;&gt;"","CS-"&amp;TEXT(687,"000"),"")</f>
        <v/>
      </c>
      <c r="B690" s="13"/>
      <c r="C690" s="13"/>
      <c r="D690" s="13"/>
      <c r="E690" s="13"/>
      <c r="F690" s="13"/>
      <c r="G690" s="13"/>
      <c r="H690" s="13"/>
      <c r="I690" s="14"/>
      <c r="J690" s="13"/>
    </row>
    <row r="691" customFormat="false" ht="15" hidden="false" customHeight="false" outlineLevel="0" collapsed="false">
      <c r="A691" s="12" t="str">
        <f aca="false">IF(B691&lt;&gt;"","CS-"&amp;TEXT(688,"000"),"")</f>
        <v/>
      </c>
      <c r="B691" s="13"/>
      <c r="C691" s="13"/>
      <c r="D691" s="13"/>
      <c r="E691" s="13"/>
      <c r="F691" s="13"/>
      <c r="G691" s="13"/>
      <c r="H691" s="13"/>
      <c r="I691" s="14"/>
      <c r="J691" s="13"/>
    </row>
    <row r="692" customFormat="false" ht="15" hidden="false" customHeight="false" outlineLevel="0" collapsed="false">
      <c r="A692" s="12" t="str">
        <f aca="false">IF(B692&lt;&gt;"","CS-"&amp;TEXT(689,"000"),"")</f>
        <v/>
      </c>
      <c r="B692" s="13"/>
      <c r="C692" s="13"/>
      <c r="D692" s="13"/>
      <c r="E692" s="13"/>
      <c r="F692" s="13"/>
      <c r="G692" s="13"/>
      <c r="H692" s="13"/>
      <c r="I692" s="14"/>
      <c r="J692" s="13"/>
    </row>
    <row r="693" customFormat="false" ht="15" hidden="false" customHeight="false" outlineLevel="0" collapsed="false">
      <c r="A693" s="12" t="str">
        <f aca="false">IF(B693&lt;&gt;"","CS-"&amp;TEXT(690,"000"),"")</f>
        <v/>
      </c>
      <c r="B693" s="13"/>
      <c r="C693" s="13"/>
      <c r="D693" s="13"/>
      <c r="E693" s="13"/>
      <c r="F693" s="13"/>
      <c r="G693" s="13"/>
      <c r="H693" s="13"/>
      <c r="I693" s="14"/>
      <c r="J693" s="13"/>
    </row>
    <row r="694" customFormat="false" ht="15" hidden="false" customHeight="false" outlineLevel="0" collapsed="false">
      <c r="A694" s="12" t="str">
        <f aca="false">IF(B694&lt;&gt;"","CS-"&amp;TEXT(691,"000"),"")</f>
        <v/>
      </c>
      <c r="B694" s="13"/>
      <c r="C694" s="13"/>
      <c r="D694" s="13"/>
      <c r="E694" s="13"/>
      <c r="F694" s="13"/>
      <c r="G694" s="13"/>
      <c r="H694" s="13"/>
      <c r="I694" s="14"/>
      <c r="J694" s="13"/>
    </row>
    <row r="695" customFormat="false" ht="15" hidden="false" customHeight="false" outlineLevel="0" collapsed="false">
      <c r="A695" s="12" t="str">
        <f aca="false">IF(B695&lt;&gt;"","CS-"&amp;TEXT(692,"000"),"")</f>
        <v/>
      </c>
      <c r="B695" s="13"/>
      <c r="C695" s="13"/>
      <c r="D695" s="13"/>
      <c r="E695" s="13"/>
      <c r="F695" s="13"/>
      <c r="G695" s="13"/>
      <c r="H695" s="13"/>
      <c r="I695" s="14"/>
      <c r="J695" s="13"/>
    </row>
    <row r="696" customFormat="false" ht="15" hidden="false" customHeight="false" outlineLevel="0" collapsed="false">
      <c r="A696" s="12" t="str">
        <f aca="false">IF(B696&lt;&gt;"","CS-"&amp;TEXT(693,"000"),"")</f>
        <v/>
      </c>
      <c r="B696" s="13"/>
      <c r="C696" s="13"/>
      <c r="D696" s="13"/>
      <c r="E696" s="13"/>
      <c r="F696" s="13"/>
      <c r="G696" s="13"/>
      <c r="H696" s="13"/>
      <c r="I696" s="14"/>
      <c r="J696" s="13"/>
    </row>
    <row r="697" customFormat="false" ht="15" hidden="false" customHeight="false" outlineLevel="0" collapsed="false">
      <c r="A697" s="12" t="str">
        <f aca="false">IF(B697&lt;&gt;"","CS-"&amp;TEXT(694,"000"),"")</f>
        <v/>
      </c>
      <c r="B697" s="13"/>
      <c r="C697" s="13"/>
      <c r="D697" s="13"/>
      <c r="E697" s="13"/>
      <c r="F697" s="13"/>
      <c r="G697" s="13"/>
      <c r="H697" s="13"/>
      <c r="I697" s="14"/>
      <c r="J697" s="13"/>
    </row>
    <row r="698" customFormat="false" ht="15" hidden="false" customHeight="false" outlineLevel="0" collapsed="false">
      <c r="A698" s="12" t="str">
        <f aca="false">IF(B698&lt;&gt;"","CS-"&amp;TEXT(695,"000"),"")</f>
        <v/>
      </c>
      <c r="B698" s="13"/>
      <c r="C698" s="13"/>
      <c r="D698" s="13"/>
      <c r="E698" s="13"/>
      <c r="F698" s="13"/>
      <c r="G698" s="13"/>
      <c r="H698" s="13"/>
      <c r="I698" s="14"/>
      <c r="J698" s="13"/>
    </row>
    <row r="699" customFormat="false" ht="15" hidden="false" customHeight="false" outlineLevel="0" collapsed="false">
      <c r="A699" s="12" t="str">
        <f aca="false">IF(B699&lt;&gt;"","CS-"&amp;TEXT(696,"000"),"")</f>
        <v/>
      </c>
      <c r="B699" s="13"/>
      <c r="C699" s="13"/>
      <c r="D699" s="13"/>
      <c r="E699" s="13"/>
      <c r="F699" s="13"/>
      <c r="G699" s="13"/>
      <c r="H699" s="13"/>
      <c r="I699" s="14"/>
      <c r="J699" s="13"/>
    </row>
    <row r="700" customFormat="false" ht="15" hidden="false" customHeight="false" outlineLevel="0" collapsed="false">
      <c r="A700" s="12" t="str">
        <f aca="false">IF(B700&lt;&gt;"","CS-"&amp;TEXT(697,"000"),"")</f>
        <v/>
      </c>
      <c r="B700" s="13"/>
      <c r="C700" s="13"/>
      <c r="D700" s="13"/>
      <c r="E700" s="13"/>
      <c r="F700" s="13"/>
      <c r="G700" s="13"/>
      <c r="H700" s="13"/>
      <c r="I700" s="14"/>
      <c r="J700" s="13"/>
    </row>
    <row r="701" customFormat="false" ht="15" hidden="false" customHeight="false" outlineLevel="0" collapsed="false">
      <c r="A701" s="12" t="str">
        <f aca="false">IF(B701&lt;&gt;"","CS-"&amp;TEXT(698,"000"),"")</f>
        <v/>
      </c>
      <c r="B701" s="13"/>
      <c r="C701" s="13"/>
      <c r="D701" s="13"/>
      <c r="E701" s="13"/>
      <c r="F701" s="13"/>
      <c r="G701" s="13"/>
      <c r="H701" s="13"/>
      <c r="I701" s="14"/>
      <c r="J701" s="13"/>
    </row>
    <row r="702" customFormat="false" ht="15" hidden="false" customHeight="false" outlineLevel="0" collapsed="false">
      <c r="A702" s="12" t="str">
        <f aca="false">IF(B702&lt;&gt;"","CS-"&amp;TEXT(699,"000"),"")</f>
        <v/>
      </c>
      <c r="B702" s="13"/>
      <c r="C702" s="13"/>
      <c r="D702" s="13"/>
      <c r="E702" s="13"/>
      <c r="F702" s="13"/>
      <c r="G702" s="13"/>
      <c r="H702" s="13"/>
      <c r="I702" s="14"/>
      <c r="J702" s="13"/>
    </row>
    <row r="703" customFormat="false" ht="15" hidden="false" customHeight="false" outlineLevel="0" collapsed="false">
      <c r="A703" s="12" t="str">
        <f aca="false">IF(B703&lt;&gt;"","CS-"&amp;TEXT(700,"000"),"")</f>
        <v/>
      </c>
      <c r="B703" s="13"/>
      <c r="C703" s="13"/>
      <c r="D703" s="13"/>
      <c r="E703" s="13"/>
      <c r="F703" s="13"/>
      <c r="G703" s="13"/>
      <c r="H703" s="13"/>
      <c r="I703" s="14"/>
      <c r="J703" s="13"/>
    </row>
    <row r="704" customFormat="false" ht="15" hidden="false" customHeight="false" outlineLevel="0" collapsed="false">
      <c r="A704" s="12" t="str">
        <f aca="false">IF(B704&lt;&gt;"","CS-"&amp;TEXT(701,"000"),"")</f>
        <v/>
      </c>
      <c r="B704" s="13"/>
      <c r="C704" s="13"/>
      <c r="D704" s="13"/>
      <c r="E704" s="13"/>
      <c r="F704" s="13"/>
      <c r="G704" s="13"/>
      <c r="H704" s="13"/>
      <c r="I704" s="14"/>
      <c r="J704" s="13"/>
    </row>
    <row r="705" customFormat="false" ht="15" hidden="false" customHeight="false" outlineLevel="0" collapsed="false">
      <c r="A705" s="12" t="str">
        <f aca="false">IF(B705&lt;&gt;"","CS-"&amp;TEXT(702,"000"),"")</f>
        <v/>
      </c>
      <c r="B705" s="13"/>
      <c r="C705" s="13"/>
      <c r="D705" s="13"/>
      <c r="E705" s="13"/>
      <c r="F705" s="13"/>
      <c r="G705" s="13"/>
      <c r="H705" s="13"/>
      <c r="I705" s="14"/>
      <c r="J705" s="13"/>
    </row>
    <row r="706" customFormat="false" ht="15" hidden="false" customHeight="false" outlineLevel="0" collapsed="false">
      <c r="A706" s="12" t="str">
        <f aca="false">IF(B706&lt;&gt;"","CS-"&amp;TEXT(703,"000"),"")</f>
        <v/>
      </c>
      <c r="B706" s="13"/>
      <c r="C706" s="13"/>
      <c r="D706" s="13"/>
      <c r="E706" s="13"/>
      <c r="F706" s="13"/>
      <c r="G706" s="13"/>
      <c r="H706" s="13"/>
      <c r="I706" s="14"/>
      <c r="J706" s="13"/>
    </row>
    <row r="707" customFormat="false" ht="15" hidden="false" customHeight="false" outlineLevel="0" collapsed="false">
      <c r="A707" s="12" t="str">
        <f aca="false">IF(B707&lt;&gt;"","CS-"&amp;TEXT(704,"000"),"")</f>
        <v/>
      </c>
      <c r="B707" s="13"/>
      <c r="C707" s="13"/>
      <c r="D707" s="13"/>
      <c r="E707" s="13"/>
      <c r="F707" s="13"/>
      <c r="G707" s="13"/>
      <c r="H707" s="13"/>
      <c r="I707" s="14"/>
      <c r="J707" s="13"/>
    </row>
    <row r="708" customFormat="false" ht="15" hidden="false" customHeight="false" outlineLevel="0" collapsed="false">
      <c r="A708" s="12" t="str">
        <f aca="false">IF(B708&lt;&gt;"","CS-"&amp;TEXT(705,"000"),"")</f>
        <v/>
      </c>
      <c r="B708" s="13"/>
      <c r="C708" s="13"/>
      <c r="D708" s="13"/>
      <c r="E708" s="13"/>
      <c r="F708" s="13"/>
      <c r="G708" s="13"/>
      <c r="H708" s="13"/>
      <c r="I708" s="14"/>
      <c r="J708" s="13"/>
    </row>
    <row r="709" customFormat="false" ht="15" hidden="false" customHeight="false" outlineLevel="0" collapsed="false">
      <c r="A709" s="12" t="str">
        <f aca="false">IF(B709&lt;&gt;"","CS-"&amp;TEXT(706,"000"),"")</f>
        <v/>
      </c>
      <c r="B709" s="13"/>
      <c r="C709" s="13"/>
      <c r="D709" s="13"/>
      <c r="E709" s="13"/>
      <c r="F709" s="13"/>
      <c r="G709" s="13"/>
      <c r="H709" s="13"/>
      <c r="I709" s="14"/>
      <c r="J709" s="13"/>
    </row>
    <row r="710" customFormat="false" ht="15" hidden="false" customHeight="false" outlineLevel="0" collapsed="false">
      <c r="A710" s="12" t="str">
        <f aca="false">IF(B710&lt;&gt;"","CS-"&amp;TEXT(707,"000"),"")</f>
        <v/>
      </c>
      <c r="B710" s="13"/>
      <c r="C710" s="13"/>
      <c r="D710" s="13"/>
      <c r="E710" s="13"/>
      <c r="F710" s="13"/>
      <c r="G710" s="13"/>
      <c r="H710" s="13"/>
      <c r="I710" s="14"/>
      <c r="J710" s="13"/>
    </row>
    <row r="711" customFormat="false" ht="15" hidden="false" customHeight="false" outlineLevel="0" collapsed="false">
      <c r="A711" s="12" t="str">
        <f aca="false">IF(B711&lt;&gt;"","CS-"&amp;TEXT(708,"000"),"")</f>
        <v/>
      </c>
      <c r="B711" s="13"/>
      <c r="C711" s="13"/>
      <c r="D711" s="13"/>
      <c r="E711" s="13"/>
      <c r="F711" s="13"/>
      <c r="G711" s="13"/>
      <c r="H711" s="13"/>
      <c r="I711" s="14"/>
      <c r="J711" s="13"/>
    </row>
    <row r="712" customFormat="false" ht="15" hidden="false" customHeight="false" outlineLevel="0" collapsed="false">
      <c r="A712" s="12" t="str">
        <f aca="false">IF(B712&lt;&gt;"","CS-"&amp;TEXT(709,"000"),"")</f>
        <v/>
      </c>
      <c r="B712" s="13"/>
      <c r="C712" s="13"/>
      <c r="D712" s="13"/>
      <c r="E712" s="13"/>
      <c r="F712" s="13"/>
      <c r="G712" s="13"/>
      <c r="H712" s="13"/>
      <c r="I712" s="14"/>
      <c r="J712" s="13"/>
    </row>
    <row r="713" customFormat="false" ht="15" hidden="false" customHeight="false" outlineLevel="0" collapsed="false">
      <c r="A713" s="12" t="str">
        <f aca="false">IF(B713&lt;&gt;"","CS-"&amp;TEXT(710,"000"),"")</f>
        <v/>
      </c>
      <c r="B713" s="13"/>
      <c r="C713" s="13"/>
      <c r="D713" s="13"/>
      <c r="E713" s="13"/>
      <c r="F713" s="13"/>
      <c r="G713" s="13"/>
      <c r="H713" s="13"/>
      <c r="I713" s="14"/>
      <c r="J713" s="13"/>
    </row>
    <row r="714" customFormat="false" ht="15" hidden="false" customHeight="false" outlineLevel="0" collapsed="false">
      <c r="A714" s="12" t="str">
        <f aca="false">IF(B714&lt;&gt;"","CS-"&amp;TEXT(711,"000"),"")</f>
        <v/>
      </c>
      <c r="B714" s="13"/>
      <c r="C714" s="13"/>
      <c r="D714" s="13"/>
      <c r="E714" s="13"/>
      <c r="F714" s="13"/>
      <c r="G714" s="13"/>
      <c r="H714" s="13"/>
      <c r="I714" s="14"/>
      <c r="J714" s="13"/>
    </row>
    <row r="715" customFormat="false" ht="15" hidden="false" customHeight="false" outlineLevel="0" collapsed="false">
      <c r="A715" s="12" t="str">
        <f aca="false">IF(B715&lt;&gt;"","CS-"&amp;TEXT(712,"000"),"")</f>
        <v/>
      </c>
      <c r="B715" s="13"/>
      <c r="C715" s="13"/>
      <c r="D715" s="13"/>
      <c r="E715" s="13"/>
      <c r="F715" s="13"/>
      <c r="G715" s="13"/>
      <c r="H715" s="13"/>
      <c r="I715" s="14"/>
      <c r="J715" s="13"/>
    </row>
    <row r="716" customFormat="false" ht="15" hidden="false" customHeight="false" outlineLevel="0" collapsed="false">
      <c r="A716" s="12" t="str">
        <f aca="false">IF(B716&lt;&gt;"","CS-"&amp;TEXT(713,"000"),"")</f>
        <v/>
      </c>
      <c r="B716" s="13"/>
      <c r="C716" s="13"/>
      <c r="D716" s="13"/>
      <c r="E716" s="13"/>
      <c r="F716" s="13"/>
      <c r="G716" s="13"/>
      <c r="H716" s="13"/>
      <c r="I716" s="14"/>
      <c r="J716" s="13"/>
    </row>
    <row r="717" customFormat="false" ht="15" hidden="false" customHeight="false" outlineLevel="0" collapsed="false">
      <c r="A717" s="12" t="str">
        <f aca="false">IF(B717&lt;&gt;"","CS-"&amp;TEXT(714,"000"),"")</f>
        <v/>
      </c>
      <c r="B717" s="13"/>
      <c r="C717" s="13"/>
      <c r="D717" s="13"/>
      <c r="E717" s="13"/>
      <c r="F717" s="13"/>
      <c r="G717" s="13"/>
      <c r="H717" s="13"/>
      <c r="I717" s="14"/>
      <c r="J717" s="13"/>
    </row>
    <row r="718" customFormat="false" ht="15" hidden="false" customHeight="false" outlineLevel="0" collapsed="false">
      <c r="A718" s="12" t="str">
        <f aca="false">IF(B718&lt;&gt;"","CS-"&amp;TEXT(715,"000"),"")</f>
        <v/>
      </c>
      <c r="B718" s="13"/>
      <c r="C718" s="13"/>
      <c r="D718" s="13"/>
      <c r="E718" s="13"/>
      <c r="F718" s="13"/>
      <c r="G718" s="13"/>
      <c r="H718" s="13"/>
      <c r="I718" s="14"/>
      <c r="J718" s="13"/>
    </row>
    <row r="719" customFormat="false" ht="15" hidden="false" customHeight="false" outlineLevel="0" collapsed="false">
      <c r="A719" s="12" t="str">
        <f aca="false">IF(B719&lt;&gt;"","CS-"&amp;TEXT(716,"000"),"")</f>
        <v/>
      </c>
      <c r="B719" s="13"/>
      <c r="C719" s="13"/>
      <c r="D719" s="13"/>
      <c r="E719" s="13"/>
      <c r="F719" s="13"/>
      <c r="G719" s="13"/>
      <c r="H719" s="13"/>
      <c r="I719" s="14"/>
      <c r="J719" s="13"/>
    </row>
    <row r="720" customFormat="false" ht="15" hidden="false" customHeight="false" outlineLevel="0" collapsed="false">
      <c r="A720" s="12" t="str">
        <f aca="false">IF(B720&lt;&gt;"","CS-"&amp;TEXT(717,"000"),"")</f>
        <v/>
      </c>
      <c r="B720" s="13"/>
      <c r="C720" s="13"/>
      <c r="D720" s="13"/>
      <c r="E720" s="13"/>
      <c r="F720" s="13"/>
      <c r="G720" s="13"/>
      <c r="H720" s="13"/>
      <c r="I720" s="14"/>
      <c r="J720" s="13"/>
    </row>
    <row r="721" customFormat="false" ht="15" hidden="false" customHeight="false" outlineLevel="0" collapsed="false">
      <c r="A721" s="12" t="str">
        <f aca="false">IF(B721&lt;&gt;"","CS-"&amp;TEXT(718,"000"),"")</f>
        <v/>
      </c>
      <c r="B721" s="13"/>
      <c r="C721" s="13"/>
      <c r="D721" s="13"/>
      <c r="E721" s="13"/>
      <c r="F721" s="13"/>
      <c r="G721" s="13"/>
      <c r="H721" s="13"/>
      <c r="I721" s="14"/>
      <c r="J721" s="13"/>
    </row>
    <row r="722" customFormat="false" ht="15" hidden="false" customHeight="false" outlineLevel="0" collapsed="false">
      <c r="A722" s="12" t="str">
        <f aca="false">IF(B722&lt;&gt;"","CS-"&amp;TEXT(719,"000"),"")</f>
        <v/>
      </c>
      <c r="B722" s="13"/>
      <c r="C722" s="13"/>
      <c r="D722" s="13"/>
      <c r="E722" s="13"/>
      <c r="F722" s="13"/>
      <c r="G722" s="13"/>
      <c r="H722" s="13"/>
      <c r="I722" s="14"/>
      <c r="J722" s="13"/>
    </row>
    <row r="723" customFormat="false" ht="15" hidden="false" customHeight="false" outlineLevel="0" collapsed="false">
      <c r="A723" s="12" t="str">
        <f aca="false">IF(B723&lt;&gt;"","CS-"&amp;TEXT(720,"000"),"")</f>
        <v/>
      </c>
      <c r="B723" s="13"/>
      <c r="C723" s="13"/>
      <c r="D723" s="13"/>
      <c r="E723" s="13"/>
      <c r="F723" s="13"/>
      <c r="G723" s="13"/>
      <c r="H723" s="13"/>
      <c r="I723" s="14"/>
      <c r="J723" s="13"/>
    </row>
    <row r="724" customFormat="false" ht="15" hidden="false" customHeight="false" outlineLevel="0" collapsed="false">
      <c r="A724" s="12" t="str">
        <f aca="false">IF(B724&lt;&gt;"","CS-"&amp;TEXT(721,"000"),"")</f>
        <v/>
      </c>
      <c r="B724" s="13"/>
      <c r="C724" s="13"/>
      <c r="D724" s="13"/>
      <c r="E724" s="13"/>
      <c r="F724" s="13"/>
      <c r="G724" s="13"/>
      <c r="H724" s="13"/>
      <c r="I724" s="14"/>
      <c r="J724" s="13"/>
    </row>
    <row r="725" customFormat="false" ht="15" hidden="false" customHeight="false" outlineLevel="0" collapsed="false">
      <c r="A725" s="12" t="str">
        <f aca="false">IF(B725&lt;&gt;"","CS-"&amp;TEXT(722,"000"),"")</f>
        <v/>
      </c>
      <c r="B725" s="13"/>
      <c r="C725" s="13"/>
      <c r="D725" s="13"/>
      <c r="E725" s="13"/>
      <c r="F725" s="13"/>
      <c r="G725" s="13"/>
      <c r="H725" s="13"/>
      <c r="I725" s="14"/>
      <c r="J725" s="13"/>
    </row>
    <row r="726" customFormat="false" ht="15" hidden="false" customHeight="false" outlineLevel="0" collapsed="false">
      <c r="A726" s="12" t="str">
        <f aca="false">IF(B726&lt;&gt;"","CS-"&amp;TEXT(723,"000"),"")</f>
        <v/>
      </c>
      <c r="B726" s="13"/>
      <c r="C726" s="13"/>
      <c r="D726" s="13"/>
      <c r="E726" s="13"/>
      <c r="F726" s="13"/>
      <c r="G726" s="13"/>
      <c r="H726" s="13"/>
      <c r="I726" s="14"/>
      <c r="J726" s="13"/>
    </row>
    <row r="727" customFormat="false" ht="15" hidden="false" customHeight="false" outlineLevel="0" collapsed="false">
      <c r="A727" s="12" t="str">
        <f aca="false">IF(B727&lt;&gt;"","CS-"&amp;TEXT(724,"000"),"")</f>
        <v/>
      </c>
      <c r="B727" s="13"/>
      <c r="C727" s="13"/>
      <c r="D727" s="13"/>
      <c r="E727" s="13"/>
      <c r="F727" s="13"/>
      <c r="G727" s="13"/>
      <c r="H727" s="13"/>
      <c r="I727" s="14"/>
      <c r="J727" s="13"/>
    </row>
    <row r="728" customFormat="false" ht="15" hidden="false" customHeight="false" outlineLevel="0" collapsed="false">
      <c r="A728" s="12" t="str">
        <f aca="false">IF(B728&lt;&gt;"","CS-"&amp;TEXT(725,"000"),"")</f>
        <v/>
      </c>
      <c r="B728" s="13"/>
      <c r="C728" s="13"/>
      <c r="D728" s="13"/>
      <c r="E728" s="13"/>
      <c r="F728" s="13"/>
      <c r="G728" s="13"/>
      <c r="H728" s="13"/>
      <c r="I728" s="14"/>
      <c r="J728" s="13"/>
    </row>
    <row r="729" customFormat="false" ht="15" hidden="false" customHeight="false" outlineLevel="0" collapsed="false">
      <c r="A729" s="12" t="str">
        <f aca="false">IF(B729&lt;&gt;"","CS-"&amp;TEXT(726,"000"),"")</f>
        <v/>
      </c>
      <c r="B729" s="13"/>
      <c r="C729" s="13"/>
      <c r="D729" s="13"/>
      <c r="E729" s="13"/>
      <c r="F729" s="13"/>
      <c r="G729" s="13"/>
      <c r="H729" s="13"/>
      <c r="I729" s="14"/>
      <c r="J729" s="13"/>
    </row>
    <row r="730" customFormat="false" ht="15" hidden="false" customHeight="false" outlineLevel="0" collapsed="false">
      <c r="A730" s="12" t="str">
        <f aca="false">IF(B730&lt;&gt;"","CS-"&amp;TEXT(727,"000"),"")</f>
        <v/>
      </c>
      <c r="B730" s="13"/>
      <c r="C730" s="13"/>
      <c r="D730" s="13"/>
      <c r="E730" s="13"/>
      <c r="F730" s="13"/>
      <c r="G730" s="13"/>
      <c r="H730" s="13"/>
      <c r="I730" s="14"/>
      <c r="J730" s="13"/>
    </row>
    <row r="731" customFormat="false" ht="15" hidden="false" customHeight="false" outlineLevel="0" collapsed="false">
      <c r="A731" s="12" t="str">
        <f aca="false">IF(B731&lt;&gt;"","CS-"&amp;TEXT(728,"000"),"")</f>
        <v/>
      </c>
      <c r="B731" s="13"/>
      <c r="C731" s="13"/>
      <c r="D731" s="13"/>
      <c r="E731" s="13"/>
      <c r="F731" s="13"/>
      <c r="G731" s="13"/>
      <c r="H731" s="13"/>
      <c r="I731" s="14"/>
      <c r="J731" s="13"/>
    </row>
    <row r="732" customFormat="false" ht="15" hidden="false" customHeight="false" outlineLevel="0" collapsed="false">
      <c r="A732" s="12" t="str">
        <f aca="false">IF(B732&lt;&gt;"","CS-"&amp;TEXT(729,"000"),"")</f>
        <v/>
      </c>
      <c r="B732" s="13"/>
      <c r="C732" s="13"/>
      <c r="D732" s="13"/>
      <c r="E732" s="13"/>
      <c r="F732" s="13"/>
      <c r="G732" s="13"/>
      <c r="H732" s="13"/>
      <c r="I732" s="14"/>
      <c r="J732" s="13"/>
    </row>
    <row r="733" customFormat="false" ht="15" hidden="false" customHeight="false" outlineLevel="0" collapsed="false">
      <c r="A733" s="12" t="str">
        <f aca="false">IF(B733&lt;&gt;"","CS-"&amp;TEXT(730,"000"),"")</f>
        <v/>
      </c>
      <c r="B733" s="13"/>
      <c r="C733" s="13"/>
      <c r="D733" s="13"/>
      <c r="E733" s="13"/>
      <c r="F733" s="13"/>
      <c r="G733" s="13"/>
      <c r="H733" s="13"/>
      <c r="I733" s="14"/>
      <c r="J733" s="13"/>
    </row>
    <row r="734" customFormat="false" ht="15" hidden="false" customHeight="false" outlineLevel="0" collapsed="false">
      <c r="A734" s="12" t="str">
        <f aca="false">IF(B734&lt;&gt;"","CS-"&amp;TEXT(731,"000"),"")</f>
        <v/>
      </c>
      <c r="B734" s="13"/>
      <c r="C734" s="13"/>
      <c r="D734" s="13"/>
      <c r="E734" s="13"/>
      <c r="F734" s="13"/>
      <c r="G734" s="13"/>
      <c r="H734" s="13"/>
      <c r="I734" s="14"/>
      <c r="J734" s="13"/>
    </row>
    <row r="735" customFormat="false" ht="15" hidden="false" customHeight="false" outlineLevel="0" collapsed="false">
      <c r="A735" s="12" t="str">
        <f aca="false">IF(B735&lt;&gt;"","CS-"&amp;TEXT(732,"000"),"")</f>
        <v/>
      </c>
      <c r="B735" s="13"/>
      <c r="C735" s="13"/>
      <c r="D735" s="13"/>
      <c r="E735" s="13"/>
      <c r="F735" s="13"/>
      <c r="G735" s="13"/>
      <c r="H735" s="13"/>
      <c r="I735" s="14"/>
      <c r="J735" s="13"/>
    </row>
    <row r="736" customFormat="false" ht="15" hidden="false" customHeight="false" outlineLevel="0" collapsed="false">
      <c r="A736" s="12" t="str">
        <f aca="false">IF(B736&lt;&gt;"","CS-"&amp;TEXT(733,"000"),"")</f>
        <v/>
      </c>
      <c r="B736" s="13"/>
      <c r="C736" s="13"/>
      <c r="D736" s="13"/>
      <c r="E736" s="13"/>
      <c r="F736" s="13"/>
      <c r="G736" s="13"/>
      <c r="H736" s="13"/>
      <c r="I736" s="14"/>
      <c r="J736" s="13"/>
    </row>
    <row r="737" customFormat="false" ht="15" hidden="false" customHeight="false" outlineLevel="0" collapsed="false">
      <c r="A737" s="12" t="str">
        <f aca="false">IF(B737&lt;&gt;"","CS-"&amp;TEXT(734,"000"),"")</f>
        <v/>
      </c>
      <c r="B737" s="13"/>
      <c r="C737" s="13"/>
      <c r="D737" s="13"/>
      <c r="E737" s="13"/>
      <c r="F737" s="13"/>
      <c r="G737" s="13"/>
      <c r="H737" s="13"/>
      <c r="I737" s="14"/>
      <c r="J737" s="13"/>
    </row>
    <row r="738" customFormat="false" ht="15" hidden="false" customHeight="false" outlineLevel="0" collapsed="false">
      <c r="A738" s="12" t="str">
        <f aca="false">IF(B738&lt;&gt;"","CS-"&amp;TEXT(735,"000"),"")</f>
        <v/>
      </c>
      <c r="B738" s="13"/>
      <c r="C738" s="13"/>
      <c r="D738" s="13"/>
      <c r="E738" s="13"/>
      <c r="F738" s="13"/>
      <c r="G738" s="13"/>
      <c r="H738" s="13"/>
      <c r="I738" s="14"/>
      <c r="J738" s="13"/>
    </row>
    <row r="739" customFormat="false" ht="15" hidden="false" customHeight="false" outlineLevel="0" collapsed="false">
      <c r="A739" s="12" t="str">
        <f aca="false">IF(B739&lt;&gt;"","CS-"&amp;TEXT(736,"000"),"")</f>
        <v/>
      </c>
      <c r="B739" s="13"/>
      <c r="C739" s="13"/>
      <c r="D739" s="13"/>
      <c r="E739" s="13"/>
      <c r="F739" s="13"/>
      <c r="G739" s="13"/>
      <c r="H739" s="13"/>
      <c r="I739" s="14"/>
      <c r="J739" s="13"/>
    </row>
    <row r="740" customFormat="false" ht="15" hidden="false" customHeight="false" outlineLevel="0" collapsed="false">
      <c r="A740" s="12" t="str">
        <f aca="false">IF(B740&lt;&gt;"","CS-"&amp;TEXT(737,"000"),"")</f>
        <v/>
      </c>
      <c r="B740" s="13"/>
      <c r="C740" s="13"/>
      <c r="D740" s="13"/>
      <c r="E740" s="13"/>
      <c r="F740" s="13"/>
      <c r="G740" s="13"/>
      <c r="H740" s="13"/>
      <c r="I740" s="14"/>
      <c r="J740" s="13"/>
    </row>
    <row r="741" customFormat="false" ht="15" hidden="false" customHeight="false" outlineLevel="0" collapsed="false">
      <c r="A741" s="12" t="str">
        <f aca="false">IF(B741&lt;&gt;"","CS-"&amp;TEXT(738,"000"),"")</f>
        <v/>
      </c>
      <c r="B741" s="13"/>
      <c r="C741" s="13"/>
      <c r="D741" s="13"/>
      <c r="E741" s="13"/>
      <c r="F741" s="13"/>
      <c r="G741" s="13"/>
      <c r="H741" s="13"/>
      <c r="I741" s="14"/>
      <c r="J741" s="13"/>
    </row>
    <row r="742" customFormat="false" ht="15" hidden="false" customHeight="false" outlineLevel="0" collapsed="false">
      <c r="A742" s="12" t="str">
        <f aca="false">IF(B742&lt;&gt;"","CS-"&amp;TEXT(739,"000"),"")</f>
        <v/>
      </c>
      <c r="B742" s="13"/>
      <c r="C742" s="13"/>
      <c r="D742" s="13"/>
      <c r="E742" s="13"/>
      <c r="F742" s="13"/>
      <c r="G742" s="13"/>
      <c r="H742" s="13"/>
      <c r="I742" s="14"/>
      <c r="J742" s="13"/>
    </row>
    <row r="743" customFormat="false" ht="15" hidden="false" customHeight="false" outlineLevel="0" collapsed="false">
      <c r="A743" s="12" t="str">
        <f aca="false">IF(B743&lt;&gt;"","CS-"&amp;TEXT(740,"000"),"")</f>
        <v/>
      </c>
      <c r="B743" s="13"/>
      <c r="C743" s="13"/>
      <c r="D743" s="13"/>
      <c r="E743" s="13"/>
      <c r="F743" s="13"/>
      <c r="G743" s="13"/>
      <c r="H743" s="13"/>
      <c r="I743" s="14"/>
      <c r="J743" s="13"/>
    </row>
    <row r="744" customFormat="false" ht="15" hidden="false" customHeight="false" outlineLevel="0" collapsed="false">
      <c r="A744" s="12" t="str">
        <f aca="false">IF(B744&lt;&gt;"","CS-"&amp;TEXT(741,"000"),"")</f>
        <v/>
      </c>
      <c r="B744" s="13"/>
      <c r="C744" s="13"/>
      <c r="D744" s="13"/>
      <c r="E744" s="13"/>
      <c r="F744" s="13"/>
      <c r="G744" s="13"/>
      <c r="H744" s="13"/>
      <c r="I744" s="14"/>
      <c r="J744" s="13"/>
    </row>
    <row r="745" customFormat="false" ht="15" hidden="false" customHeight="false" outlineLevel="0" collapsed="false">
      <c r="A745" s="12" t="str">
        <f aca="false">IF(B745&lt;&gt;"","CS-"&amp;TEXT(742,"000"),"")</f>
        <v/>
      </c>
      <c r="B745" s="13"/>
      <c r="C745" s="13"/>
      <c r="D745" s="13"/>
      <c r="E745" s="13"/>
      <c r="F745" s="13"/>
      <c r="G745" s="13"/>
      <c r="H745" s="13"/>
      <c r="I745" s="14"/>
      <c r="J745" s="13"/>
    </row>
    <row r="746" customFormat="false" ht="15" hidden="false" customHeight="false" outlineLevel="0" collapsed="false">
      <c r="A746" s="12" t="str">
        <f aca="false">IF(B746&lt;&gt;"","CS-"&amp;TEXT(743,"000"),"")</f>
        <v/>
      </c>
      <c r="B746" s="13"/>
      <c r="C746" s="13"/>
      <c r="D746" s="13"/>
      <c r="E746" s="13"/>
      <c r="F746" s="13"/>
      <c r="G746" s="13"/>
      <c r="H746" s="13"/>
      <c r="I746" s="14"/>
      <c r="J746" s="13"/>
    </row>
    <row r="747" customFormat="false" ht="15" hidden="false" customHeight="false" outlineLevel="0" collapsed="false">
      <c r="A747" s="12" t="str">
        <f aca="false">IF(B747&lt;&gt;"","CS-"&amp;TEXT(744,"000"),"")</f>
        <v/>
      </c>
      <c r="B747" s="13"/>
      <c r="C747" s="13"/>
      <c r="D747" s="13"/>
      <c r="E747" s="13"/>
      <c r="F747" s="13"/>
      <c r="G747" s="13"/>
      <c r="H747" s="13"/>
      <c r="I747" s="14"/>
      <c r="J747" s="13"/>
    </row>
    <row r="748" customFormat="false" ht="15" hidden="false" customHeight="false" outlineLevel="0" collapsed="false">
      <c r="A748" s="12" t="str">
        <f aca="false">IF(B748&lt;&gt;"","CS-"&amp;TEXT(745,"000"),"")</f>
        <v/>
      </c>
      <c r="B748" s="13"/>
      <c r="C748" s="13"/>
      <c r="D748" s="13"/>
      <c r="E748" s="13"/>
      <c r="F748" s="13"/>
      <c r="G748" s="13"/>
      <c r="H748" s="13"/>
      <c r="I748" s="14"/>
      <c r="J748" s="13"/>
    </row>
    <row r="749" customFormat="false" ht="15" hidden="false" customHeight="false" outlineLevel="0" collapsed="false">
      <c r="A749" s="12" t="str">
        <f aca="false">IF(B749&lt;&gt;"","CS-"&amp;TEXT(746,"000"),"")</f>
        <v/>
      </c>
      <c r="B749" s="13"/>
      <c r="C749" s="13"/>
      <c r="D749" s="13"/>
      <c r="E749" s="13"/>
      <c r="F749" s="13"/>
      <c r="G749" s="13"/>
      <c r="H749" s="13"/>
      <c r="I749" s="14"/>
      <c r="J749" s="13"/>
    </row>
    <row r="750" customFormat="false" ht="15" hidden="false" customHeight="false" outlineLevel="0" collapsed="false">
      <c r="A750" s="12" t="str">
        <f aca="false">IF(B750&lt;&gt;"","CS-"&amp;TEXT(747,"000"),"")</f>
        <v/>
      </c>
      <c r="B750" s="13"/>
      <c r="C750" s="13"/>
      <c r="D750" s="13"/>
      <c r="E750" s="13"/>
      <c r="F750" s="13"/>
      <c r="G750" s="13"/>
      <c r="H750" s="13"/>
      <c r="I750" s="14"/>
      <c r="J750" s="13"/>
    </row>
    <row r="751" customFormat="false" ht="15" hidden="false" customHeight="false" outlineLevel="0" collapsed="false">
      <c r="A751" s="12" t="str">
        <f aca="false">IF(B751&lt;&gt;"","CS-"&amp;TEXT(748,"000"),"")</f>
        <v/>
      </c>
      <c r="B751" s="13"/>
      <c r="C751" s="13"/>
      <c r="D751" s="13"/>
      <c r="E751" s="13"/>
      <c r="F751" s="13"/>
      <c r="G751" s="13"/>
      <c r="H751" s="13"/>
      <c r="I751" s="14"/>
      <c r="J751" s="13"/>
    </row>
    <row r="752" customFormat="false" ht="15" hidden="false" customHeight="false" outlineLevel="0" collapsed="false">
      <c r="A752" s="12" t="str">
        <f aca="false">IF(B752&lt;&gt;"","CS-"&amp;TEXT(749,"000"),"")</f>
        <v/>
      </c>
      <c r="B752" s="13"/>
      <c r="C752" s="13"/>
      <c r="D752" s="13"/>
      <c r="E752" s="13"/>
      <c r="F752" s="13"/>
      <c r="G752" s="13"/>
      <c r="H752" s="13"/>
      <c r="I752" s="14"/>
      <c r="J752" s="13"/>
    </row>
    <row r="753" customFormat="false" ht="15" hidden="false" customHeight="false" outlineLevel="0" collapsed="false">
      <c r="A753" s="12" t="str">
        <f aca="false">IF(B753&lt;&gt;"","CS-"&amp;TEXT(750,"000"),"")</f>
        <v/>
      </c>
      <c r="B753" s="13"/>
      <c r="C753" s="13"/>
      <c r="D753" s="13"/>
      <c r="E753" s="13"/>
      <c r="F753" s="13"/>
      <c r="G753" s="13"/>
      <c r="H753" s="13"/>
      <c r="I753" s="14"/>
      <c r="J753" s="13"/>
    </row>
    <row r="754" customFormat="false" ht="15" hidden="false" customHeight="false" outlineLevel="0" collapsed="false">
      <c r="A754" s="12" t="str">
        <f aca="false">IF(B754&lt;&gt;"","CS-"&amp;TEXT(751,"000"),"")</f>
        <v/>
      </c>
      <c r="B754" s="13"/>
      <c r="C754" s="13"/>
      <c r="D754" s="13"/>
      <c r="E754" s="13"/>
      <c r="F754" s="13"/>
      <c r="G754" s="13"/>
      <c r="H754" s="13"/>
      <c r="I754" s="14"/>
      <c r="J754" s="13"/>
    </row>
    <row r="755" customFormat="false" ht="15" hidden="false" customHeight="false" outlineLevel="0" collapsed="false">
      <c r="A755" s="12" t="str">
        <f aca="false">IF(B755&lt;&gt;"","CS-"&amp;TEXT(752,"000"),"")</f>
        <v/>
      </c>
      <c r="B755" s="13"/>
      <c r="C755" s="13"/>
      <c r="D755" s="13"/>
      <c r="E755" s="13"/>
      <c r="F755" s="13"/>
      <c r="G755" s="13"/>
      <c r="H755" s="13"/>
      <c r="I755" s="14"/>
      <c r="J755" s="13"/>
    </row>
    <row r="756" customFormat="false" ht="15" hidden="false" customHeight="false" outlineLevel="0" collapsed="false">
      <c r="A756" s="12" t="str">
        <f aca="false">IF(B756&lt;&gt;"","CS-"&amp;TEXT(753,"000"),"")</f>
        <v/>
      </c>
      <c r="B756" s="13"/>
      <c r="C756" s="13"/>
      <c r="D756" s="13"/>
      <c r="E756" s="13"/>
      <c r="F756" s="13"/>
      <c r="G756" s="13"/>
      <c r="H756" s="13"/>
      <c r="I756" s="14"/>
      <c r="J756" s="13"/>
    </row>
    <row r="757" customFormat="false" ht="15" hidden="false" customHeight="false" outlineLevel="0" collapsed="false">
      <c r="A757" s="12" t="str">
        <f aca="false">IF(B757&lt;&gt;"","CS-"&amp;TEXT(754,"000"),"")</f>
        <v/>
      </c>
      <c r="B757" s="13"/>
      <c r="C757" s="13"/>
      <c r="D757" s="13"/>
      <c r="E757" s="13"/>
      <c r="F757" s="13"/>
      <c r="G757" s="13"/>
      <c r="H757" s="13"/>
      <c r="I757" s="14"/>
      <c r="J757" s="13"/>
    </row>
    <row r="758" customFormat="false" ht="15" hidden="false" customHeight="false" outlineLevel="0" collapsed="false">
      <c r="A758" s="12" t="str">
        <f aca="false">IF(B758&lt;&gt;"","CS-"&amp;TEXT(755,"000"),"")</f>
        <v/>
      </c>
      <c r="B758" s="13"/>
      <c r="C758" s="13"/>
      <c r="D758" s="13"/>
      <c r="E758" s="13"/>
      <c r="F758" s="13"/>
      <c r="G758" s="13"/>
      <c r="H758" s="13"/>
      <c r="I758" s="14"/>
      <c r="J758" s="13"/>
    </row>
    <row r="759" customFormat="false" ht="15" hidden="false" customHeight="false" outlineLevel="0" collapsed="false">
      <c r="A759" s="12" t="str">
        <f aca="false">IF(B759&lt;&gt;"","CS-"&amp;TEXT(756,"000"),"")</f>
        <v/>
      </c>
      <c r="B759" s="13"/>
      <c r="C759" s="13"/>
      <c r="D759" s="13"/>
      <c r="E759" s="13"/>
      <c r="F759" s="13"/>
      <c r="G759" s="13"/>
      <c r="H759" s="13"/>
      <c r="I759" s="14"/>
      <c r="J759" s="13"/>
    </row>
    <row r="760" customFormat="false" ht="15" hidden="false" customHeight="false" outlineLevel="0" collapsed="false">
      <c r="A760" s="12" t="str">
        <f aca="false">IF(B760&lt;&gt;"","CS-"&amp;TEXT(757,"000"),"")</f>
        <v/>
      </c>
      <c r="B760" s="13"/>
      <c r="C760" s="13"/>
      <c r="D760" s="13"/>
      <c r="E760" s="13"/>
      <c r="F760" s="13"/>
      <c r="G760" s="13"/>
      <c r="H760" s="13"/>
      <c r="I760" s="14"/>
      <c r="J760" s="13"/>
    </row>
    <row r="761" customFormat="false" ht="15" hidden="false" customHeight="false" outlineLevel="0" collapsed="false">
      <c r="A761" s="12" t="str">
        <f aca="false">IF(B761&lt;&gt;"","CS-"&amp;TEXT(758,"000"),"")</f>
        <v/>
      </c>
      <c r="B761" s="13"/>
      <c r="C761" s="13"/>
      <c r="D761" s="13"/>
      <c r="E761" s="13"/>
      <c r="F761" s="13"/>
      <c r="G761" s="13"/>
      <c r="H761" s="13"/>
      <c r="I761" s="14"/>
      <c r="J761" s="13"/>
    </row>
    <row r="762" customFormat="false" ht="15" hidden="false" customHeight="false" outlineLevel="0" collapsed="false">
      <c r="A762" s="12" t="str">
        <f aca="false">IF(B762&lt;&gt;"","CS-"&amp;TEXT(759,"000"),"")</f>
        <v/>
      </c>
      <c r="B762" s="13"/>
      <c r="C762" s="13"/>
      <c r="D762" s="13"/>
      <c r="E762" s="13"/>
      <c r="F762" s="13"/>
      <c r="G762" s="13"/>
      <c r="H762" s="13"/>
      <c r="I762" s="14"/>
      <c r="J762" s="13"/>
    </row>
    <row r="763" customFormat="false" ht="15" hidden="false" customHeight="false" outlineLevel="0" collapsed="false">
      <c r="A763" s="12" t="str">
        <f aca="false">IF(B763&lt;&gt;"","CS-"&amp;TEXT(760,"000"),"")</f>
        <v/>
      </c>
      <c r="B763" s="13"/>
      <c r="C763" s="13"/>
      <c r="D763" s="13"/>
      <c r="E763" s="13"/>
      <c r="F763" s="13"/>
      <c r="G763" s="13"/>
      <c r="H763" s="13"/>
      <c r="I763" s="14"/>
      <c r="J763" s="13"/>
    </row>
    <row r="764" customFormat="false" ht="15" hidden="false" customHeight="false" outlineLevel="0" collapsed="false">
      <c r="A764" s="12" t="str">
        <f aca="false">IF(B764&lt;&gt;"","CS-"&amp;TEXT(761,"000"),"")</f>
        <v/>
      </c>
      <c r="B764" s="13"/>
      <c r="C764" s="13"/>
      <c r="D764" s="13"/>
      <c r="E764" s="13"/>
      <c r="F764" s="13"/>
      <c r="G764" s="13"/>
      <c r="H764" s="13"/>
      <c r="I764" s="14"/>
      <c r="J764" s="13"/>
    </row>
    <row r="765" customFormat="false" ht="15" hidden="false" customHeight="false" outlineLevel="0" collapsed="false">
      <c r="A765" s="12" t="str">
        <f aca="false">IF(B765&lt;&gt;"","CS-"&amp;TEXT(762,"000"),"")</f>
        <v/>
      </c>
      <c r="B765" s="13"/>
      <c r="C765" s="13"/>
      <c r="D765" s="13"/>
      <c r="E765" s="13"/>
      <c r="F765" s="13"/>
      <c r="G765" s="13"/>
      <c r="H765" s="13"/>
      <c r="I765" s="14"/>
      <c r="J765" s="13"/>
    </row>
    <row r="766" customFormat="false" ht="15" hidden="false" customHeight="false" outlineLevel="0" collapsed="false">
      <c r="A766" s="12" t="str">
        <f aca="false">IF(B766&lt;&gt;"","CS-"&amp;TEXT(763,"000"),"")</f>
        <v/>
      </c>
      <c r="B766" s="13"/>
      <c r="C766" s="13"/>
      <c r="D766" s="13"/>
      <c r="E766" s="13"/>
      <c r="F766" s="13"/>
      <c r="G766" s="13"/>
      <c r="H766" s="13"/>
      <c r="I766" s="14"/>
      <c r="J766" s="13"/>
    </row>
    <row r="767" customFormat="false" ht="15" hidden="false" customHeight="false" outlineLevel="0" collapsed="false">
      <c r="A767" s="12" t="str">
        <f aca="false">IF(B767&lt;&gt;"","CS-"&amp;TEXT(764,"000"),"")</f>
        <v/>
      </c>
      <c r="B767" s="13"/>
      <c r="C767" s="13"/>
      <c r="D767" s="13"/>
      <c r="E767" s="13"/>
      <c r="F767" s="13"/>
      <c r="G767" s="13"/>
      <c r="H767" s="13"/>
      <c r="I767" s="14"/>
      <c r="J767" s="13"/>
    </row>
    <row r="768" customFormat="false" ht="15" hidden="false" customHeight="false" outlineLevel="0" collapsed="false">
      <c r="A768" s="12" t="str">
        <f aca="false">IF(B768&lt;&gt;"","CS-"&amp;TEXT(765,"000"),"")</f>
        <v/>
      </c>
      <c r="B768" s="13"/>
      <c r="C768" s="13"/>
      <c r="D768" s="13"/>
      <c r="E768" s="13"/>
      <c r="F768" s="13"/>
      <c r="G768" s="13"/>
      <c r="H768" s="13"/>
      <c r="I768" s="14"/>
      <c r="J768" s="13"/>
    </row>
    <row r="769" customFormat="false" ht="15" hidden="false" customHeight="false" outlineLevel="0" collapsed="false">
      <c r="A769" s="12" t="str">
        <f aca="false">IF(B769&lt;&gt;"","CS-"&amp;TEXT(766,"000"),"")</f>
        <v/>
      </c>
      <c r="B769" s="13"/>
      <c r="C769" s="13"/>
      <c r="D769" s="13"/>
      <c r="E769" s="13"/>
      <c r="F769" s="13"/>
      <c r="G769" s="13"/>
      <c r="H769" s="13"/>
      <c r="I769" s="14"/>
      <c r="J769" s="13"/>
    </row>
    <row r="770" customFormat="false" ht="15" hidden="false" customHeight="false" outlineLevel="0" collapsed="false">
      <c r="A770" s="12" t="str">
        <f aca="false">IF(B770&lt;&gt;"","CS-"&amp;TEXT(767,"000"),"")</f>
        <v/>
      </c>
      <c r="B770" s="13"/>
      <c r="C770" s="13"/>
      <c r="D770" s="13"/>
      <c r="E770" s="13"/>
      <c r="F770" s="13"/>
      <c r="G770" s="13"/>
      <c r="H770" s="13"/>
      <c r="I770" s="14"/>
      <c r="J770" s="13"/>
    </row>
    <row r="771" customFormat="false" ht="15" hidden="false" customHeight="false" outlineLevel="0" collapsed="false">
      <c r="A771" s="12" t="str">
        <f aca="false">IF(B771&lt;&gt;"","CS-"&amp;TEXT(768,"000"),"")</f>
        <v/>
      </c>
      <c r="B771" s="13"/>
      <c r="C771" s="13"/>
      <c r="D771" s="13"/>
      <c r="E771" s="13"/>
      <c r="F771" s="13"/>
      <c r="G771" s="13"/>
      <c r="H771" s="13"/>
      <c r="I771" s="14"/>
      <c r="J771" s="13"/>
    </row>
    <row r="772" customFormat="false" ht="15" hidden="false" customHeight="false" outlineLevel="0" collapsed="false">
      <c r="A772" s="12" t="str">
        <f aca="false">IF(B772&lt;&gt;"","CS-"&amp;TEXT(769,"000"),"")</f>
        <v/>
      </c>
      <c r="B772" s="13"/>
      <c r="C772" s="13"/>
      <c r="D772" s="13"/>
      <c r="E772" s="13"/>
      <c r="F772" s="13"/>
      <c r="G772" s="13"/>
      <c r="H772" s="13"/>
      <c r="I772" s="14"/>
      <c r="J772" s="13"/>
    </row>
    <row r="773" customFormat="false" ht="15" hidden="false" customHeight="false" outlineLevel="0" collapsed="false">
      <c r="A773" s="12" t="str">
        <f aca="false">IF(B773&lt;&gt;"","CS-"&amp;TEXT(770,"000"),"")</f>
        <v/>
      </c>
      <c r="B773" s="13"/>
      <c r="C773" s="13"/>
      <c r="D773" s="13"/>
      <c r="E773" s="13"/>
      <c r="F773" s="13"/>
      <c r="G773" s="13"/>
      <c r="H773" s="13"/>
      <c r="I773" s="14"/>
      <c r="J773" s="13"/>
    </row>
    <row r="774" customFormat="false" ht="15" hidden="false" customHeight="false" outlineLevel="0" collapsed="false">
      <c r="A774" s="12" t="str">
        <f aca="false">IF(B774&lt;&gt;"","CS-"&amp;TEXT(771,"000"),"")</f>
        <v/>
      </c>
      <c r="B774" s="13"/>
      <c r="C774" s="13"/>
      <c r="D774" s="13"/>
      <c r="E774" s="13"/>
      <c r="F774" s="13"/>
      <c r="G774" s="13"/>
      <c r="H774" s="13"/>
      <c r="I774" s="14"/>
      <c r="J774" s="13"/>
    </row>
    <row r="775" customFormat="false" ht="15" hidden="false" customHeight="false" outlineLevel="0" collapsed="false">
      <c r="A775" s="12" t="str">
        <f aca="false">IF(B775&lt;&gt;"","CS-"&amp;TEXT(772,"000"),"")</f>
        <v/>
      </c>
      <c r="B775" s="13"/>
      <c r="C775" s="13"/>
      <c r="D775" s="13"/>
      <c r="E775" s="13"/>
      <c r="F775" s="13"/>
      <c r="G775" s="13"/>
      <c r="H775" s="13"/>
      <c r="I775" s="14"/>
      <c r="J775" s="13"/>
    </row>
    <row r="776" customFormat="false" ht="15" hidden="false" customHeight="false" outlineLevel="0" collapsed="false">
      <c r="A776" s="12" t="str">
        <f aca="false">IF(B776&lt;&gt;"","CS-"&amp;TEXT(773,"000"),"")</f>
        <v/>
      </c>
      <c r="B776" s="13"/>
      <c r="C776" s="13"/>
      <c r="D776" s="13"/>
      <c r="E776" s="13"/>
      <c r="F776" s="13"/>
      <c r="G776" s="13"/>
      <c r="H776" s="13"/>
      <c r="I776" s="14"/>
      <c r="J776" s="13"/>
    </row>
    <row r="777" customFormat="false" ht="15" hidden="false" customHeight="false" outlineLevel="0" collapsed="false">
      <c r="A777" s="12" t="str">
        <f aca="false">IF(B777&lt;&gt;"","CS-"&amp;TEXT(774,"000"),"")</f>
        <v/>
      </c>
      <c r="B777" s="13"/>
      <c r="C777" s="13"/>
      <c r="D777" s="13"/>
      <c r="E777" s="13"/>
      <c r="F777" s="13"/>
      <c r="G777" s="13"/>
      <c r="H777" s="13"/>
      <c r="I777" s="14"/>
      <c r="J777" s="13"/>
    </row>
    <row r="778" customFormat="false" ht="15" hidden="false" customHeight="false" outlineLevel="0" collapsed="false">
      <c r="A778" s="12" t="str">
        <f aca="false">IF(B778&lt;&gt;"","CS-"&amp;TEXT(775,"000"),"")</f>
        <v/>
      </c>
      <c r="B778" s="13"/>
      <c r="C778" s="13"/>
      <c r="D778" s="13"/>
      <c r="E778" s="13"/>
      <c r="F778" s="13"/>
      <c r="G778" s="13"/>
      <c r="H778" s="13"/>
      <c r="I778" s="14"/>
      <c r="J778" s="13"/>
    </row>
    <row r="779" customFormat="false" ht="15" hidden="false" customHeight="false" outlineLevel="0" collapsed="false">
      <c r="A779" s="12" t="str">
        <f aca="false">IF(B779&lt;&gt;"","CS-"&amp;TEXT(776,"000"),"")</f>
        <v/>
      </c>
      <c r="B779" s="13"/>
      <c r="C779" s="13"/>
      <c r="D779" s="13"/>
      <c r="E779" s="13"/>
      <c r="F779" s="13"/>
      <c r="G779" s="13"/>
      <c r="H779" s="13"/>
      <c r="I779" s="14"/>
      <c r="J779" s="13"/>
    </row>
    <row r="780" customFormat="false" ht="15" hidden="false" customHeight="false" outlineLevel="0" collapsed="false">
      <c r="A780" s="12" t="str">
        <f aca="false">IF(B780&lt;&gt;"","CS-"&amp;TEXT(777,"000"),"")</f>
        <v/>
      </c>
      <c r="B780" s="13"/>
      <c r="C780" s="13"/>
      <c r="D780" s="13"/>
      <c r="E780" s="13"/>
      <c r="F780" s="13"/>
      <c r="G780" s="13"/>
      <c r="H780" s="13"/>
      <c r="I780" s="14"/>
      <c r="J780" s="13"/>
    </row>
    <row r="781" customFormat="false" ht="15" hidden="false" customHeight="false" outlineLevel="0" collapsed="false">
      <c r="A781" s="12" t="str">
        <f aca="false">IF(B781&lt;&gt;"","CS-"&amp;TEXT(778,"000"),"")</f>
        <v/>
      </c>
      <c r="B781" s="13"/>
      <c r="C781" s="13"/>
      <c r="D781" s="13"/>
      <c r="E781" s="13"/>
      <c r="F781" s="13"/>
      <c r="G781" s="13"/>
      <c r="H781" s="13"/>
      <c r="I781" s="14"/>
      <c r="J781" s="13"/>
    </row>
    <row r="782" customFormat="false" ht="15" hidden="false" customHeight="false" outlineLevel="0" collapsed="false">
      <c r="A782" s="12" t="str">
        <f aca="false">IF(B782&lt;&gt;"","CS-"&amp;TEXT(779,"000"),"")</f>
        <v/>
      </c>
      <c r="B782" s="13"/>
      <c r="C782" s="13"/>
      <c r="D782" s="13"/>
      <c r="E782" s="13"/>
      <c r="F782" s="13"/>
      <c r="G782" s="13"/>
      <c r="H782" s="13"/>
      <c r="I782" s="14"/>
      <c r="J782" s="13"/>
    </row>
    <row r="783" customFormat="false" ht="15" hidden="false" customHeight="false" outlineLevel="0" collapsed="false">
      <c r="A783" s="12" t="str">
        <f aca="false">IF(B783&lt;&gt;"","CS-"&amp;TEXT(780,"000"),"")</f>
        <v/>
      </c>
      <c r="B783" s="13"/>
      <c r="C783" s="13"/>
      <c r="D783" s="13"/>
      <c r="E783" s="13"/>
      <c r="F783" s="13"/>
      <c r="G783" s="13"/>
      <c r="H783" s="13"/>
      <c r="I783" s="14"/>
      <c r="J783" s="13"/>
    </row>
    <row r="784" customFormat="false" ht="15" hidden="false" customHeight="false" outlineLevel="0" collapsed="false">
      <c r="A784" s="12" t="str">
        <f aca="false">IF(B784&lt;&gt;"","CS-"&amp;TEXT(781,"000"),"")</f>
        <v/>
      </c>
      <c r="B784" s="13"/>
      <c r="C784" s="13"/>
      <c r="D784" s="13"/>
      <c r="E784" s="13"/>
      <c r="F784" s="13"/>
      <c r="G784" s="13"/>
      <c r="H784" s="13"/>
      <c r="I784" s="14"/>
      <c r="J784" s="13"/>
    </row>
    <row r="785" customFormat="false" ht="15" hidden="false" customHeight="false" outlineLevel="0" collapsed="false">
      <c r="A785" s="12" t="str">
        <f aca="false">IF(B785&lt;&gt;"","CS-"&amp;TEXT(782,"000"),"")</f>
        <v/>
      </c>
      <c r="B785" s="13"/>
      <c r="C785" s="13"/>
      <c r="D785" s="13"/>
      <c r="E785" s="13"/>
      <c r="F785" s="13"/>
      <c r="G785" s="13"/>
      <c r="H785" s="13"/>
      <c r="I785" s="14"/>
      <c r="J785" s="13"/>
    </row>
    <row r="786" customFormat="false" ht="15" hidden="false" customHeight="false" outlineLevel="0" collapsed="false">
      <c r="A786" s="12" t="str">
        <f aca="false">IF(B786&lt;&gt;"","CS-"&amp;TEXT(783,"000"),"")</f>
        <v/>
      </c>
      <c r="B786" s="13"/>
      <c r="C786" s="13"/>
      <c r="D786" s="13"/>
      <c r="E786" s="13"/>
      <c r="F786" s="13"/>
      <c r="G786" s="13"/>
      <c r="H786" s="13"/>
      <c r="I786" s="14"/>
      <c r="J786" s="13"/>
    </row>
    <row r="787" customFormat="false" ht="15" hidden="false" customHeight="false" outlineLevel="0" collapsed="false">
      <c r="A787" s="12" t="str">
        <f aca="false">IF(B787&lt;&gt;"","CS-"&amp;TEXT(784,"000"),"")</f>
        <v/>
      </c>
      <c r="B787" s="13"/>
      <c r="C787" s="13"/>
      <c r="D787" s="13"/>
      <c r="E787" s="13"/>
      <c r="F787" s="13"/>
      <c r="G787" s="13"/>
      <c r="H787" s="13"/>
      <c r="I787" s="14"/>
      <c r="J787" s="13"/>
    </row>
    <row r="788" customFormat="false" ht="15" hidden="false" customHeight="false" outlineLevel="0" collapsed="false">
      <c r="A788" s="12" t="str">
        <f aca="false">IF(B788&lt;&gt;"","CS-"&amp;TEXT(785,"000"),"")</f>
        <v/>
      </c>
      <c r="B788" s="13"/>
      <c r="C788" s="13"/>
      <c r="D788" s="13"/>
      <c r="E788" s="13"/>
      <c r="F788" s="13"/>
      <c r="G788" s="13"/>
      <c r="H788" s="13"/>
      <c r="I788" s="14"/>
      <c r="J788" s="13"/>
    </row>
    <row r="789" customFormat="false" ht="15" hidden="false" customHeight="false" outlineLevel="0" collapsed="false">
      <c r="A789" s="12" t="str">
        <f aca="false">IF(B789&lt;&gt;"","CS-"&amp;TEXT(786,"000"),"")</f>
        <v/>
      </c>
      <c r="B789" s="13"/>
      <c r="C789" s="13"/>
      <c r="D789" s="13"/>
      <c r="E789" s="13"/>
      <c r="F789" s="13"/>
      <c r="G789" s="13"/>
      <c r="H789" s="13"/>
      <c r="I789" s="14"/>
      <c r="J789" s="13"/>
    </row>
    <row r="790" customFormat="false" ht="15" hidden="false" customHeight="false" outlineLevel="0" collapsed="false">
      <c r="A790" s="12" t="str">
        <f aca="false">IF(B790&lt;&gt;"","CS-"&amp;TEXT(787,"000"),"")</f>
        <v/>
      </c>
      <c r="B790" s="13"/>
      <c r="C790" s="13"/>
      <c r="D790" s="13"/>
      <c r="E790" s="13"/>
      <c r="F790" s="13"/>
      <c r="G790" s="13"/>
      <c r="H790" s="13"/>
      <c r="I790" s="14"/>
      <c r="J790" s="13"/>
    </row>
    <row r="791" customFormat="false" ht="15" hidden="false" customHeight="false" outlineLevel="0" collapsed="false">
      <c r="A791" s="12" t="str">
        <f aca="false">IF(B791&lt;&gt;"","CS-"&amp;TEXT(788,"000"),"")</f>
        <v/>
      </c>
      <c r="B791" s="13"/>
      <c r="C791" s="13"/>
      <c r="D791" s="13"/>
      <c r="E791" s="13"/>
      <c r="F791" s="13"/>
      <c r="G791" s="13"/>
      <c r="H791" s="13"/>
      <c r="I791" s="14"/>
      <c r="J791" s="13"/>
    </row>
    <row r="792" customFormat="false" ht="15" hidden="false" customHeight="false" outlineLevel="0" collapsed="false">
      <c r="A792" s="12" t="str">
        <f aca="false">IF(B792&lt;&gt;"","CS-"&amp;TEXT(789,"000"),"")</f>
        <v/>
      </c>
      <c r="B792" s="13"/>
      <c r="C792" s="13"/>
      <c r="D792" s="13"/>
      <c r="E792" s="13"/>
      <c r="F792" s="13"/>
      <c r="G792" s="13"/>
      <c r="H792" s="13"/>
      <c r="I792" s="14"/>
      <c r="J792" s="13"/>
    </row>
    <row r="793" customFormat="false" ht="15" hidden="false" customHeight="false" outlineLevel="0" collapsed="false">
      <c r="A793" s="12" t="str">
        <f aca="false">IF(B793&lt;&gt;"","CS-"&amp;TEXT(790,"000"),"")</f>
        <v/>
      </c>
      <c r="B793" s="13"/>
      <c r="C793" s="13"/>
      <c r="D793" s="13"/>
      <c r="E793" s="13"/>
      <c r="F793" s="13"/>
      <c r="G793" s="13"/>
      <c r="H793" s="13"/>
      <c r="I793" s="14"/>
      <c r="J793" s="13"/>
    </row>
    <row r="794" customFormat="false" ht="15" hidden="false" customHeight="false" outlineLevel="0" collapsed="false">
      <c r="A794" s="12" t="str">
        <f aca="false">IF(B794&lt;&gt;"","CS-"&amp;TEXT(791,"000"),"")</f>
        <v/>
      </c>
      <c r="B794" s="13"/>
      <c r="C794" s="13"/>
      <c r="D794" s="13"/>
      <c r="E794" s="13"/>
      <c r="F794" s="13"/>
      <c r="G794" s="13"/>
      <c r="H794" s="13"/>
      <c r="I794" s="14"/>
      <c r="J794" s="13"/>
    </row>
    <row r="795" customFormat="false" ht="15" hidden="false" customHeight="false" outlineLevel="0" collapsed="false">
      <c r="A795" s="12" t="str">
        <f aca="false">IF(B795&lt;&gt;"","CS-"&amp;TEXT(792,"000"),"")</f>
        <v/>
      </c>
      <c r="B795" s="13"/>
      <c r="C795" s="13"/>
      <c r="D795" s="13"/>
      <c r="E795" s="13"/>
      <c r="F795" s="13"/>
      <c r="G795" s="13"/>
      <c r="H795" s="13"/>
      <c r="I795" s="14"/>
      <c r="J795" s="13"/>
    </row>
    <row r="796" customFormat="false" ht="15" hidden="false" customHeight="false" outlineLevel="0" collapsed="false">
      <c r="A796" s="12" t="str">
        <f aca="false">IF(B796&lt;&gt;"","CS-"&amp;TEXT(793,"000"),"")</f>
        <v/>
      </c>
      <c r="B796" s="13"/>
      <c r="C796" s="13"/>
      <c r="D796" s="13"/>
      <c r="E796" s="13"/>
      <c r="F796" s="13"/>
      <c r="G796" s="13"/>
      <c r="H796" s="13"/>
      <c r="I796" s="14"/>
      <c r="J796" s="13"/>
    </row>
    <row r="797" customFormat="false" ht="15" hidden="false" customHeight="false" outlineLevel="0" collapsed="false">
      <c r="A797" s="12" t="str">
        <f aca="false">IF(B797&lt;&gt;"","CS-"&amp;TEXT(794,"000"),"")</f>
        <v/>
      </c>
      <c r="B797" s="13"/>
      <c r="C797" s="13"/>
      <c r="D797" s="13"/>
      <c r="E797" s="13"/>
      <c r="F797" s="13"/>
      <c r="G797" s="13"/>
      <c r="H797" s="13"/>
      <c r="I797" s="14"/>
      <c r="J797" s="13"/>
    </row>
    <row r="798" customFormat="false" ht="15" hidden="false" customHeight="false" outlineLevel="0" collapsed="false">
      <c r="A798" s="12" t="str">
        <f aca="false">IF(B798&lt;&gt;"","CS-"&amp;TEXT(795,"000"),"")</f>
        <v/>
      </c>
      <c r="B798" s="13"/>
      <c r="C798" s="13"/>
      <c r="D798" s="13"/>
      <c r="E798" s="13"/>
      <c r="F798" s="13"/>
      <c r="G798" s="13"/>
      <c r="H798" s="13"/>
      <c r="I798" s="14"/>
      <c r="J798" s="13"/>
    </row>
    <row r="799" customFormat="false" ht="15" hidden="false" customHeight="false" outlineLevel="0" collapsed="false">
      <c r="A799" s="12" t="str">
        <f aca="false">IF(B799&lt;&gt;"","CS-"&amp;TEXT(796,"000"),"")</f>
        <v/>
      </c>
      <c r="B799" s="13"/>
      <c r="C799" s="13"/>
      <c r="D799" s="13"/>
      <c r="E799" s="13"/>
      <c r="F799" s="13"/>
      <c r="G799" s="13"/>
      <c r="H799" s="13"/>
      <c r="I799" s="14"/>
      <c r="J799" s="13"/>
    </row>
    <row r="800" customFormat="false" ht="15" hidden="false" customHeight="false" outlineLevel="0" collapsed="false">
      <c r="A800" s="12" t="str">
        <f aca="false">IF(B800&lt;&gt;"","CS-"&amp;TEXT(797,"000"),"")</f>
        <v/>
      </c>
      <c r="B800" s="13"/>
      <c r="C800" s="13"/>
      <c r="D800" s="13"/>
      <c r="E800" s="13"/>
      <c r="F800" s="13"/>
      <c r="G800" s="13"/>
      <c r="H800" s="13"/>
      <c r="I800" s="14"/>
      <c r="J800" s="13"/>
    </row>
    <row r="801" customFormat="false" ht="15" hidden="false" customHeight="false" outlineLevel="0" collapsed="false">
      <c r="A801" s="12" t="str">
        <f aca="false">IF(B801&lt;&gt;"","CS-"&amp;TEXT(798,"000"),"")</f>
        <v/>
      </c>
      <c r="B801" s="13"/>
      <c r="C801" s="13"/>
      <c r="D801" s="13"/>
      <c r="E801" s="13"/>
      <c r="F801" s="13"/>
      <c r="G801" s="13"/>
      <c r="H801" s="13"/>
      <c r="I801" s="14"/>
      <c r="J801" s="13"/>
    </row>
    <row r="802" customFormat="false" ht="15" hidden="false" customHeight="false" outlineLevel="0" collapsed="false">
      <c r="A802" s="12" t="str">
        <f aca="false">IF(B802&lt;&gt;"","CS-"&amp;TEXT(799,"000"),"")</f>
        <v/>
      </c>
      <c r="B802" s="13"/>
      <c r="C802" s="13"/>
      <c r="D802" s="13"/>
      <c r="E802" s="13"/>
      <c r="F802" s="13"/>
      <c r="G802" s="13"/>
      <c r="H802" s="13"/>
      <c r="I802" s="14"/>
      <c r="J802" s="13"/>
    </row>
    <row r="803" customFormat="false" ht="15" hidden="false" customHeight="false" outlineLevel="0" collapsed="false">
      <c r="A803" s="12" t="str">
        <f aca="false">IF(B803&lt;&gt;"","CS-"&amp;TEXT(800,"000"),"")</f>
        <v/>
      </c>
      <c r="B803" s="13"/>
      <c r="C803" s="13"/>
      <c r="D803" s="13"/>
      <c r="E803" s="13"/>
      <c r="F803" s="13"/>
      <c r="G803" s="13"/>
      <c r="H803" s="13"/>
      <c r="I803" s="14"/>
      <c r="J803" s="13"/>
    </row>
    <row r="804" customFormat="false" ht="15" hidden="false" customHeight="false" outlineLevel="0" collapsed="false">
      <c r="A804" s="12" t="str">
        <f aca="false">IF(B804&lt;&gt;"","CS-"&amp;TEXT(801,"000"),"")</f>
        <v/>
      </c>
      <c r="B804" s="13"/>
      <c r="C804" s="13"/>
      <c r="D804" s="13"/>
      <c r="E804" s="13"/>
      <c r="F804" s="13"/>
      <c r="G804" s="13"/>
      <c r="H804" s="13"/>
      <c r="I804" s="14"/>
      <c r="J804" s="13"/>
    </row>
    <row r="805" customFormat="false" ht="15" hidden="false" customHeight="false" outlineLevel="0" collapsed="false">
      <c r="A805" s="12" t="str">
        <f aca="false">IF(B805&lt;&gt;"","CS-"&amp;TEXT(802,"000"),"")</f>
        <v/>
      </c>
      <c r="B805" s="13"/>
      <c r="C805" s="13"/>
      <c r="D805" s="13"/>
      <c r="E805" s="13"/>
      <c r="F805" s="13"/>
      <c r="G805" s="13"/>
      <c r="H805" s="13"/>
      <c r="I805" s="14"/>
      <c r="J805" s="13"/>
    </row>
    <row r="806" customFormat="false" ht="15" hidden="false" customHeight="false" outlineLevel="0" collapsed="false">
      <c r="A806" s="12" t="str">
        <f aca="false">IF(B806&lt;&gt;"","CS-"&amp;TEXT(803,"000"),"")</f>
        <v/>
      </c>
      <c r="B806" s="13"/>
      <c r="C806" s="13"/>
      <c r="D806" s="13"/>
      <c r="E806" s="13"/>
      <c r="F806" s="13"/>
      <c r="G806" s="13"/>
      <c r="H806" s="13"/>
      <c r="I806" s="14"/>
      <c r="J806" s="13"/>
    </row>
    <row r="807" customFormat="false" ht="15" hidden="false" customHeight="false" outlineLevel="0" collapsed="false">
      <c r="A807" s="12" t="str">
        <f aca="false">IF(B807&lt;&gt;"","CS-"&amp;TEXT(804,"000"),"")</f>
        <v/>
      </c>
      <c r="B807" s="13"/>
      <c r="C807" s="13"/>
      <c r="D807" s="13"/>
      <c r="E807" s="13"/>
      <c r="F807" s="13"/>
      <c r="G807" s="13"/>
      <c r="H807" s="13"/>
      <c r="I807" s="14"/>
      <c r="J807" s="13"/>
    </row>
    <row r="808" customFormat="false" ht="15" hidden="false" customHeight="false" outlineLevel="0" collapsed="false">
      <c r="A808" s="12" t="str">
        <f aca="false">IF(B808&lt;&gt;"","CS-"&amp;TEXT(805,"000"),"")</f>
        <v/>
      </c>
      <c r="B808" s="13"/>
      <c r="C808" s="13"/>
      <c r="D808" s="13"/>
      <c r="E808" s="13"/>
      <c r="F808" s="13"/>
      <c r="G808" s="13"/>
      <c r="H808" s="13"/>
      <c r="I808" s="14"/>
      <c r="J808" s="13"/>
    </row>
    <row r="809" customFormat="false" ht="15" hidden="false" customHeight="false" outlineLevel="0" collapsed="false">
      <c r="A809" s="12" t="str">
        <f aca="false">IF(B809&lt;&gt;"","CS-"&amp;TEXT(806,"000"),"")</f>
        <v/>
      </c>
      <c r="B809" s="13"/>
      <c r="C809" s="13"/>
      <c r="D809" s="13"/>
      <c r="E809" s="13"/>
      <c r="F809" s="13"/>
      <c r="G809" s="13"/>
      <c r="H809" s="13"/>
      <c r="I809" s="14"/>
      <c r="J809" s="13"/>
    </row>
    <row r="810" customFormat="false" ht="15" hidden="false" customHeight="false" outlineLevel="0" collapsed="false">
      <c r="A810" s="12" t="str">
        <f aca="false">IF(B810&lt;&gt;"","CS-"&amp;TEXT(807,"000"),"")</f>
        <v/>
      </c>
      <c r="B810" s="13"/>
      <c r="C810" s="13"/>
      <c r="D810" s="13"/>
      <c r="E810" s="13"/>
      <c r="F810" s="13"/>
      <c r="G810" s="13"/>
      <c r="H810" s="13"/>
      <c r="I810" s="14"/>
      <c r="J810" s="13"/>
    </row>
    <row r="811" customFormat="false" ht="15" hidden="false" customHeight="false" outlineLevel="0" collapsed="false">
      <c r="A811" s="12" t="str">
        <f aca="false">IF(B811&lt;&gt;"","CS-"&amp;TEXT(808,"000"),"")</f>
        <v/>
      </c>
      <c r="B811" s="13"/>
      <c r="C811" s="13"/>
      <c r="D811" s="13"/>
      <c r="E811" s="13"/>
      <c r="F811" s="13"/>
      <c r="G811" s="13"/>
      <c r="H811" s="13"/>
      <c r="I811" s="14"/>
      <c r="J811" s="13"/>
    </row>
    <row r="812" customFormat="false" ht="15" hidden="false" customHeight="false" outlineLevel="0" collapsed="false">
      <c r="A812" s="12" t="str">
        <f aca="false">IF(B812&lt;&gt;"","CS-"&amp;TEXT(809,"000"),"")</f>
        <v/>
      </c>
      <c r="B812" s="13"/>
      <c r="C812" s="13"/>
      <c r="D812" s="13"/>
      <c r="E812" s="13"/>
      <c r="F812" s="13"/>
      <c r="G812" s="13"/>
      <c r="H812" s="13"/>
      <c r="I812" s="14"/>
      <c r="J812" s="13"/>
    </row>
    <row r="813" customFormat="false" ht="15" hidden="false" customHeight="false" outlineLevel="0" collapsed="false">
      <c r="A813" s="12" t="str">
        <f aca="false">IF(B813&lt;&gt;"","CS-"&amp;TEXT(810,"000"),"")</f>
        <v/>
      </c>
      <c r="B813" s="13"/>
      <c r="C813" s="13"/>
      <c r="D813" s="13"/>
      <c r="E813" s="13"/>
      <c r="F813" s="13"/>
      <c r="G813" s="13"/>
      <c r="H813" s="13"/>
      <c r="I813" s="14"/>
      <c r="J813" s="13"/>
    </row>
    <row r="814" customFormat="false" ht="15" hidden="false" customHeight="false" outlineLevel="0" collapsed="false">
      <c r="A814" s="12" t="str">
        <f aca="false">IF(B814&lt;&gt;"","CS-"&amp;TEXT(811,"000"),"")</f>
        <v/>
      </c>
      <c r="B814" s="13"/>
      <c r="C814" s="13"/>
      <c r="D814" s="13"/>
      <c r="E814" s="13"/>
      <c r="F814" s="13"/>
      <c r="G814" s="13"/>
      <c r="H814" s="13"/>
      <c r="I814" s="14"/>
      <c r="J814" s="13"/>
    </row>
    <row r="815" customFormat="false" ht="15" hidden="false" customHeight="false" outlineLevel="0" collapsed="false">
      <c r="A815" s="12" t="str">
        <f aca="false">IF(B815&lt;&gt;"","CS-"&amp;TEXT(812,"000"),"")</f>
        <v/>
      </c>
      <c r="B815" s="13"/>
      <c r="C815" s="13"/>
      <c r="D815" s="13"/>
      <c r="E815" s="13"/>
      <c r="F815" s="13"/>
      <c r="G815" s="13"/>
      <c r="H815" s="13"/>
      <c r="I815" s="14"/>
      <c r="J815" s="13"/>
    </row>
    <row r="816" customFormat="false" ht="15" hidden="false" customHeight="false" outlineLevel="0" collapsed="false">
      <c r="A816" s="12" t="str">
        <f aca="false">IF(B816&lt;&gt;"","CS-"&amp;TEXT(813,"000"),"")</f>
        <v/>
      </c>
      <c r="B816" s="13"/>
      <c r="C816" s="13"/>
      <c r="D816" s="13"/>
      <c r="E816" s="13"/>
      <c r="F816" s="13"/>
      <c r="G816" s="13"/>
      <c r="H816" s="13"/>
      <c r="I816" s="14"/>
      <c r="J816" s="13"/>
    </row>
    <row r="817" customFormat="false" ht="15" hidden="false" customHeight="false" outlineLevel="0" collapsed="false">
      <c r="A817" s="12" t="str">
        <f aca="false">IF(B817&lt;&gt;"","CS-"&amp;TEXT(814,"000"),"")</f>
        <v/>
      </c>
      <c r="B817" s="13"/>
      <c r="C817" s="13"/>
      <c r="D817" s="13"/>
      <c r="E817" s="13"/>
      <c r="F817" s="13"/>
      <c r="G817" s="13"/>
      <c r="H817" s="13"/>
      <c r="I817" s="14"/>
      <c r="J817" s="13"/>
    </row>
    <row r="818" customFormat="false" ht="15" hidden="false" customHeight="false" outlineLevel="0" collapsed="false">
      <c r="A818" s="12" t="str">
        <f aca="false">IF(B818&lt;&gt;"","CS-"&amp;TEXT(815,"000"),"")</f>
        <v/>
      </c>
      <c r="B818" s="13"/>
      <c r="C818" s="13"/>
      <c r="D818" s="13"/>
      <c r="E818" s="13"/>
      <c r="F818" s="13"/>
      <c r="G818" s="13"/>
      <c r="H818" s="13"/>
      <c r="I818" s="14"/>
      <c r="J818" s="13"/>
    </row>
    <row r="819" customFormat="false" ht="15" hidden="false" customHeight="false" outlineLevel="0" collapsed="false">
      <c r="A819" s="12" t="str">
        <f aca="false">IF(B819&lt;&gt;"","CS-"&amp;TEXT(816,"000"),"")</f>
        <v/>
      </c>
      <c r="B819" s="13"/>
      <c r="C819" s="13"/>
      <c r="D819" s="13"/>
      <c r="E819" s="13"/>
      <c r="F819" s="13"/>
      <c r="G819" s="13"/>
      <c r="H819" s="13"/>
      <c r="I819" s="14"/>
      <c r="J819" s="13"/>
    </row>
    <row r="820" customFormat="false" ht="15" hidden="false" customHeight="false" outlineLevel="0" collapsed="false">
      <c r="A820" s="12" t="str">
        <f aca="false">IF(B820&lt;&gt;"","CS-"&amp;TEXT(817,"000"),"")</f>
        <v/>
      </c>
      <c r="B820" s="13"/>
      <c r="C820" s="13"/>
      <c r="D820" s="13"/>
      <c r="E820" s="13"/>
      <c r="F820" s="13"/>
      <c r="G820" s="13"/>
      <c r="H820" s="13"/>
      <c r="I820" s="14"/>
      <c r="J820" s="13"/>
    </row>
    <row r="821" customFormat="false" ht="15" hidden="false" customHeight="false" outlineLevel="0" collapsed="false">
      <c r="A821" s="12" t="str">
        <f aca="false">IF(B821&lt;&gt;"","CS-"&amp;TEXT(818,"000"),"")</f>
        <v/>
      </c>
      <c r="B821" s="13"/>
      <c r="C821" s="13"/>
      <c r="D821" s="13"/>
      <c r="E821" s="13"/>
      <c r="F821" s="13"/>
      <c r="G821" s="13"/>
      <c r="H821" s="13"/>
      <c r="I821" s="14"/>
      <c r="J821" s="13"/>
    </row>
    <row r="822" customFormat="false" ht="15" hidden="false" customHeight="false" outlineLevel="0" collapsed="false">
      <c r="A822" s="12" t="str">
        <f aca="false">IF(B822&lt;&gt;"","CS-"&amp;TEXT(819,"000"),"")</f>
        <v/>
      </c>
      <c r="B822" s="13"/>
      <c r="C822" s="13"/>
      <c r="D822" s="13"/>
      <c r="E822" s="13"/>
      <c r="F822" s="13"/>
      <c r="G822" s="13"/>
      <c r="H822" s="13"/>
      <c r="I822" s="14"/>
      <c r="J822" s="13"/>
    </row>
    <row r="823" customFormat="false" ht="15" hidden="false" customHeight="false" outlineLevel="0" collapsed="false">
      <c r="A823" s="12" t="str">
        <f aca="false">IF(B823&lt;&gt;"","CS-"&amp;TEXT(820,"000"),"")</f>
        <v/>
      </c>
      <c r="B823" s="13"/>
      <c r="C823" s="13"/>
      <c r="D823" s="13"/>
      <c r="E823" s="13"/>
      <c r="F823" s="13"/>
      <c r="G823" s="13"/>
      <c r="H823" s="13"/>
      <c r="I823" s="14"/>
      <c r="J823" s="13"/>
    </row>
    <row r="824" customFormat="false" ht="15" hidden="false" customHeight="false" outlineLevel="0" collapsed="false">
      <c r="A824" s="12" t="str">
        <f aca="false">IF(B824&lt;&gt;"","CS-"&amp;TEXT(821,"000"),"")</f>
        <v/>
      </c>
      <c r="B824" s="13"/>
      <c r="C824" s="13"/>
      <c r="D824" s="13"/>
      <c r="E824" s="13"/>
      <c r="F824" s="13"/>
      <c r="G824" s="13"/>
      <c r="H824" s="13"/>
      <c r="I824" s="14"/>
      <c r="J824" s="13"/>
    </row>
    <row r="825" customFormat="false" ht="15" hidden="false" customHeight="false" outlineLevel="0" collapsed="false">
      <c r="A825" s="12" t="str">
        <f aca="false">IF(B825&lt;&gt;"","CS-"&amp;TEXT(822,"000"),"")</f>
        <v/>
      </c>
      <c r="B825" s="13"/>
      <c r="C825" s="13"/>
      <c r="D825" s="13"/>
      <c r="E825" s="13"/>
      <c r="F825" s="13"/>
      <c r="G825" s="13"/>
      <c r="H825" s="13"/>
      <c r="I825" s="14"/>
      <c r="J825" s="13"/>
    </row>
    <row r="826" customFormat="false" ht="15" hidden="false" customHeight="false" outlineLevel="0" collapsed="false">
      <c r="A826" s="12" t="str">
        <f aca="false">IF(B826&lt;&gt;"","CS-"&amp;TEXT(823,"000"),"")</f>
        <v/>
      </c>
      <c r="B826" s="13"/>
      <c r="C826" s="13"/>
      <c r="D826" s="13"/>
      <c r="E826" s="13"/>
      <c r="F826" s="13"/>
      <c r="G826" s="13"/>
      <c r="H826" s="13"/>
      <c r="I826" s="14"/>
      <c r="J826" s="13"/>
    </row>
    <row r="827" customFormat="false" ht="15" hidden="false" customHeight="false" outlineLevel="0" collapsed="false">
      <c r="A827" s="12" t="str">
        <f aca="false">IF(B827&lt;&gt;"","CS-"&amp;TEXT(824,"000"),"")</f>
        <v/>
      </c>
      <c r="B827" s="13"/>
      <c r="C827" s="13"/>
      <c r="D827" s="13"/>
      <c r="E827" s="13"/>
      <c r="F827" s="13"/>
      <c r="G827" s="13"/>
      <c r="H827" s="13"/>
      <c r="I827" s="14"/>
      <c r="J827" s="13"/>
    </row>
    <row r="828" customFormat="false" ht="15" hidden="false" customHeight="false" outlineLevel="0" collapsed="false">
      <c r="A828" s="12" t="str">
        <f aca="false">IF(B828&lt;&gt;"","CS-"&amp;TEXT(825,"000"),"")</f>
        <v/>
      </c>
      <c r="B828" s="13"/>
      <c r="C828" s="13"/>
      <c r="D828" s="13"/>
      <c r="E828" s="13"/>
      <c r="F828" s="13"/>
      <c r="G828" s="13"/>
      <c r="H828" s="13"/>
      <c r="I828" s="14"/>
      <c r="J828" s="13"/>
    </row>
    <row r="829" customFormat="false" ht="15" hidden="false" customHeight="false" outlineLevel="0" collapsed="false">
      <c r="A829" s="12" t="str">
        <f aca="false">IF(B829&lt;&gt;"","CS-"&amp;TEXT(826,"000"),"")</f>
        <v/>
      </c>
      <c r="B829" s="13"/>
      <c r="C829" s="13"/>
      <c r="D829" s="13"/>
      <c r="E829" s="13"/>
      <c r="F829" s="13"/>
      <c r="G829" s="13"/>
      <c r="H829" s="13"/>
      <c r="I829" s="14"/>
      <c r="J829" s="13"/>
    </row>
    <row r="830" customFormat="false" ht="15" hidden="false" customHeight="false" outlineLevel="0" collapsed="false">
      <c r="A830" s="12" t="str">
        <f aca="false">IF(B830&lt;&gt;"","CS-"&amp;TEXT(827,"000"),"")</f>
        <v/>
      </c>
      <c r="B830" s="13"/>
      <c r="C830" s="13"/>
      <c r="D830" s="13"/>
      <c r="E830" s="13"/>
      <c r="F830" s="13"/>
      <c r="G830" s="13"/>
      <c r="H830" s="13"/>
      <c r="I830" s="14"/>
      <c r="J830" s="13"/>
    </row>
    <row r="831" customFormat="false" ht="15" hidden="false" customHeight="false" outlineLevel="0" collapsed="false">
      <c r="A831" s="12" t="str">
        <f aca="false">IF(B831&lt;&gt;"","CS-"&amp;TEXT(828,"000"),"")</f>
        <v/>
      </c>
      <c r="B831" s="13"/>
      <c r="C831" s="13"/>
      <c r="D831" s="13"/>
      <c r="E831" s="13"/>
      <c r="F831" s="13"/>
      <c r="G831" s="13"/>
      <c r="H831" s="13"/>
      <c r="I831" s="14"/>
      <c r="J831" s="13"/>
    </row>
    <row r="832" customFormat="false" ht="15" hidden="false" customHeight="false" outlineLevel="0" collapsed="false">
      <c r="A832" s="12" t="str">
        <f aca="false">IF(B832&lt;&gt;"","CS-"&amp;TEXT(829,"000"),"")</f>
        <v/>
      </c>
      <c r="B832" s="13"/>
      <c r="C832" s="13"/>
      <c r="D832" s="13"/>
      <c r="E832" s="13"/>
      <c r="F832" s="13"/>
      <c r="G832" s="13"/>
      <c r="H832" s="13"/>
      <c r="I832" s="14"/>
      <c r="J832" s="13"/>
    </row>
    <row r="833" customFormat="false" ht="15" hidden="false" customHeight="false" outlineLevel="0" collapsed="false">
      <c r="A833" s="12" t="str">
        <f aca="false">IF(B833&lt;&gt;"","CS-"&amp;TEXT(830,"000"),"")</f>
        <v/>
      </c>
      <c r="B833" s="13"/>
      <c r="C833" s="13"/>
      <c r="D833" s="13"/>
      <c r="E833" s="13"/>
      <c r="F833" s="13"/>
      <c r="G833" s="13"/>
      <c r="H833" s="13"/>
      <c r="I833" s="14"/>
      <c r="J833" s="13"/>
    </row>
    <row r="834" customFormat="false" ht="15" hidden="false" customHeight="false" outlineLevel="0" collapsed="false">
      <c r="A834" s="12" t="str">
        <f aca="false">IF(B834&lt;&gt;"","CS-"&amp;TEXT(831,"000"),"")</f>
        <v/>
      </c>
      <c r="B834" s="13"/>
      <c r="C834" s="13"/>
      <c r="D834" s="13"/>
      <c r="E834" s="13"/>
      <c r="F834" s="13"/>
      <c r="G834" s="13"/>
      <c r="H834" s="13"/>
      <c r="I834" s="14"/>
      <c r="J834" s="13"/>
    </row>
    <row r="835" customFormat="false" ht="15" hidden="false" customHeight="false" outlineLevel="0" collapsed="false">
      <c r="A835" s="12" t="str">
        <f aca="false">IF(B835&lt;&gt;"","CS-"&amp;TEXT(832,"000"),"")</f>
        <v/>
      </c>
      <c r="B835" s="13"/>
      <c r="C835" s="13"/>
      <c r="D835" s="13"/>
      <c r="E835" s="13"/>
      <c r="F835" s="13"/>
      <c r="G835" s="13"/>
      <c r="H835" s="13"/>
      <c r="I835" s="14"/>
      <c r="J835" s="13"/>
    </row>
    <row r="836" customFormat="false" ht="15" hidden="false" customHeight="false" outlineLevel="0" collapsed="false">
      <c r="A836" s="12" t="str">
        <f aca="false">IF(B836&lt;&gt;"","CS-"&amp;TEXT(833,"000"),"")</f>
        <v/>
      </c>
      <c r="B836" s="13"/>
      <c r="C836" s="13"/>
      <c r="D836" s="13"/>
      <c r="E836" s="13"/>
      <c r="F836" s="13"/>
      <c r="G836" s="13"/>
      <c r="H836" s="13"/>
      <c r="I836" s="14"/>
      <c r="J836" s="13"/>
    </row>
    <row r="837" customFormat="false" ht="15" hidden="false" customHeight="false" outlineLevel="0" collapsed="false">
      <c r="A837" s="12" t="str">
        <f aca="false">IF(B837&lt;&gt;"","CS-"&amp;TEXT(834,"000"),"")</f>
        <v/>
      </c>
      <c r="B837" s="13"/>
      <c r="C837" s="13"/>
      <c r="D837" s="13"/>
      <c r="E837" s="13"/>
      <c r="F837" s="13"/>
      <c r="G837" s="13"/>
      <c r="H837" s="13"/>
      <c r="I837" s="14"/>
      <c r="J837" s="13"/>
    </row>
    <row r="838" customFormat="false" ht="15" hidden="false" customHeight="false" outlineLevel="0" collapsed="false">
      <c r="A838" s="12" t="str">
        <f aca="false">IF(B838&lt;&gt;"","CS-"&amp;TEXT(835,"000"),"")</f>
        <v/>
      </c>
      <c r="B838" s="13"/>
      <c r="C838" s="13"/>
      <c r="D838" s="13"/>
      <c r="E838" s="13"/>
      <c r="F838" s="13"/>
      <c r="G838" s="13"/>
      <c r="H838" s="13"/>
      <c r="I838" s="14"/>
      <c r="J838" s="13"/>
    </row>
    <row r="839" customFormat="false" ht="15" hidden="false" customHeight="false" outlineLevel="0" collapsed="false">
      <c r="A839" s="12" t="str">
        <f aca="false">IF(B839&lt;&gt;"","CS-"&amp;TEXT(836,"000"),"")</f>
        <v/>
      </c>
      <c r="B839" s="13"/>
      <c r="C839" s="13"/>
      <c r="D839" s="13"/>
      <c r="E839" s="13"/>
      <c r="F839" s="13"/>
      <c r="G839" s="13"/>
      <c r="H839" s="13"/>
      <c r="I839" s="14"/>
      <c r="J839" s="13"/>
    </row>
    <row r="840" customFormat="false" ht="15" hidden="false" customHeight="false" outlineLevel="0" collapsed="false">
      <c r="A840" s="12" t="str">
        <f aca="false">IF(B840&lt;&gt;"","CS-"&amp;TEXT(837,"000"),"")</f>
        <v/>
      </c>
      <c r="B840" s="13"/>
      <c r="C840" s="13"/>
      <c r="D840" s="13"/>
      <c r="E840" s="13"/>
      <c r="F840" s="13"/>
      <c r="G840" s="13"/>
      <c r="H840" s="13"/>
      <c r="I840" s="14"/>
      <c r="J840" s="13"/>
    </row>
    <row r="841" customFormat="false" ht="15" hidden="false" customHeight="false" outlineLevel="0" collapsed="false">
      <c r="A841" s="12" t="str">
        <f aca="false">IF(B841&lt;&gt;"","CS-"&amp;TEXT(838,"000"),"")</f>
        <v/>
      </c>
      <c r="B841" s="13"/>
      <c r="C841" s="13"/>
      <c r="D841" s="13"/>
      <c r="E841" s="13"/>
      <c r="F841" s="13"/>
      <c r="G841" s="13"/>
      <c r="H841" s="13"/>
      <c r="I841" s="14"/>
      <c r="J841" s="13"/>
    </row>
    <row r="842" customFormat="false" ht="15" hidden="false" customHeight="false" outlineLevel="0" collapsed="false">
      <c r="A842" s="12" t="str">
        <f aca="false">IF(B842&lt;&gt;"","CS-"&amp;TEXT(839,"000"),"")</f>
        <v/>
      </c>
      <c r="B842" s="13"/>
      <c r="C842" s="13"/>
      <c r="D842" s="13"/>
      <c r="E842" s="13"/>
      <c r="F842" s="13"/>
      <c r="G842" s="13"/>
      <c r="H842" s="13"/>
      <c r="I842" s="14"/>
      <c r="J842" s="13"/>
    </row>
    <row r="843" customFormat="false" ht="15" hidden="false" customHeight="false" outlineLevel="0" collapsed="false">
      <c r="A843" s="12" t="str">
        <f aca="false">IF(B843&lt;&gt;"","CS-"&amp;TEXT(840,"000"),"")</f>
        <v/>
      </c>
      <c r="B843" s="13"/>
      <c r="C843" s="13"/>
      <c r="D843" s="13"/>
      <c r="E843" s="13"/>
      <c r="F843" s="13"/>
      <c r="G843" s="13"/>
      <c r="H843" s="13"/>
      <c r="I843" s="14"/>
      <c r="J843" s="13"/>
    </row>
    <row r="844" customFormat="false" ht="15" hidden="false" customHeight="false" outlineLevel="0" collapsed="false">
      <c r="A844" s="12" t="str">
        <f aca="false">IF(B844&lt;&gt;"","CS-"&amp;TEXT(841,"000"),"")</f>
        <v/>
      </c>
      <c r="B844" s="13"/>
      <c r="C844" s="13"/>
      <c r="D844" s="13"/>
      <c r="E844" s="13"/>
      <c r="F844" s="13"/>
      <c r="G844" s="13"/>
      <c r="H844" s="13"/>
      <c r="I844" s="14"/>
      <c r="J844" s="13"/>
    </row>
    <row r="845" customFormat="false" ht="15" hidden="false" customHeight="false" outlineLevel="0" collapsed="false">
      <c r="A845" s="12" t="str">
        <f aca="false">IF(B845&lt;&gt;"","CS-"&amp;TEXT(842,"000"),"")</f>
        <v/>
      </c>
      <c r="B845" s="13"/>
      <c r="C845" s="13"/>
      <c r="D845" s="13"/>
      <c r="E845" s="13"/>
      <c r="F845" s="13"/>
      <c r="G845" s="13"/>
      <c r="H845" s="13"/>
      <c r="I845" s="14"/>
      <c r="J845" s="13"/>
    </row>
    <row r="846" customFormat="false" ht="15" hidden="false" customHeight="false" outlineLevel="0" collapsed="false">
      <c r="A846" s="12" t="str">
        <f aca="false">IF(B846&lt;&gt;"","CS-"&amp;TEXT(843,"000"),"")</f>
        <v/>
      </c>
      <c r="B846" s="13"/>
      <c r="C846" s="13"/>
      <c r="D846" s="13"/>
      <c r="E846" s="13"/>
      <c r="F846" s="13"/>
      <c r="G846" s="13"/>
      <c r="H846" s="13"/>
      <c r="I846" s="14"/>
      <c r="J846" s="13"/>
    </row>
    <row r="847" customFormat="false" ht="15" hidden="false" customHeight="false" outlineLevel="0" collapsed="false">
      <c r="A847" s="12" t="str">
        <f aca="false">IF(B847&lt;&gt;"","CS-"&amp;TEXT(844,"000"),"")</f>
        <v/>
      </c>
      <c r="B847" s="13"/>
      <c r="C847" s="13"/>
      <c r="D847" s="13"/>
      <c r="E847" s="13"/>
      <c r="F847" s="13"/>
      <c r="G847" s="13"/>
      <c r="H847" s="13"/>
      <c r="I847" s="14"/>
      <c r="J847" s="13"/>
    </row>
    <row r="848" customFormat="false" ht="15" hidden="false" customHeight="false" outlineLevel="0" collapsed="false">
      <c r="A848" s="12" t="str">
        <f aca="false">IF(B848&lt;&gt;"","CS-"&amp;TEXT(845,"000"),"")</f>
        <v/>
      </c>
      <c r="B848" s="13"/>
      <c r="C848" s="13"/>
      <c r="D848" s="13"/>
      <c r="E848" s="13"/>
      <c r="F848" s="13"/>
      <c r="G848" s="13"/>
      <c r="H848" s="13"/>
      <c r="I848" s="14"/>
      <c r="J848" s="13"/>
    </row>
    <row r="849" customFormat="false" ht="15" hidden="false" customHeight="false" outlineLevel="0" collapsed="false">
      <c r="A849" s="12" t="str">
        <f aca="false">IF(B849&lt;&gt;"","CS-"&amp;TEXT(846,"000"),"")</f>
        <v/>
      </c>
      <c r="B849" s="13"/>
      <c r="C849" s="13"/>
      <c r="D849" s="13"/>
      <c r="E849" s="13"/>
      <c r="F849" s="13"/>
      <c r="G849" s="13"/>
      <c r="H849" s="13"/>
      <c r="I849" s="14"/>
      <c r="J849" s="13"/>
    </row>
    <row r="850" customFormat="false" ht="15" hidden="false" customHeight="false" outlineLevel="0" collapsed="false">
      <c r="A850" s="12" t="str">
        <f aca="false">IF(B850&lt;&gt;"","CS-"&amp;TEXT(847,"000"),"")</f>
        <v/>
      </c>
      <c r="B850" s="13"/>
      <c r="C850" s="13"/>
      <c r="D850" s="13"/>
      <c r="E850" s="13"/>
      <c r="F850" s="13"/>
      <c r="G850" s="13"/>
      <c r="H850" s="13"/>
      <c r="I850" s="14"/>
      <c r="J850" s="13"/>
    </row>
    <row r="851" customFormat="false" ht="15" hidden="false" customHeight="false" outlineLevel="0" collapsed="false">
      <c r="A851" s="12" t="str">
        <f aca="false">IF(B851&lt;&gt;"","CS-"&amp;TEXT(848,"000"),"")</f>
        <v/>
      </c>
      <c r="B851" s="13"/>
      <c r="C851" s="13"/>
      <c r="D851" s="13"/>
      <c r="E851" s="13"/>
      <c r="F851" s="13"/>
      <c r="G851" s="13"/>
      <c r="H851" s="13"/>
      <c r="I851" s="14"/>
      <c r="J851" s="13"/>
    </row>
    <row r="852" customFormat="false" ht="15" hidden="false" customHeight="false" outlineLevel="0" collapsed="false">
      <c r="A852" s="12" t="str">
        <f aca="false">IF(B852&lt;&gt;"","CS-"&amp;TEXT(849,"000"),"")</f>
        <v/>
      </c>
      <c r="B852" s="13"/>
      <c r="C852" s="13"/>
      <c r="D852" s="13"/>
      <c r="E852" s="13"/>
      <c r="F852" s="13"/>
      <c r="G852" s="13"/>
      <c r="H852" s="13"/>
      <c r="I852" s="14"/>
      <c r="J852" s="13"/>
    </row>
    <row r="853" customFormat="false" ht="15" hidden="false" customHeight="false" outlineLevel="0" collapsed="false">
      <c r="A853" s="12" t="str">
        <f aca="false">IF(B853&lt;&gt;"","CS-"&amp;TEXT(850,"000"),"")</f>
        <v/>
      </c>
      <c r="B853" s="13"/>
      <c r="C853" s="13"/>
      <c r="D853" s="13"/>
      <c r="E853" s="13"/>
      <c r="F853" s="13"/>
      <c r="G853" s="13"/>
      <c r="H853" s="13"/>
      <c r="I853" s="14"/>
      <c r="J853" s="13"/>
    </row>
    <row r="854" customFormat="false" ht="15" hidden="false" customHeight="false" outlineLevel="0" collapsed="false">
      <c r="A854" s="12" t="str">
        <f aca="false">IF(B854&lt;&gt;"","CS-"&amp;TEXT(851,"000"),"")</f>
        <v/>
      </c>
      <c r="B854" s="13"/>
      <c r="C854" s="13"/>
      <c r="D854" s="13"/>
      <c r="E854" s="13"/>
      <c r="F854" s="13"/>
      <c r="G854" s="13"/>
      <c r="H854" s="13"/>
      <c r="I854" s="14"/>
      <c r="J854" s="13"/>
    </row>
    <row r="855" customFormat="false" ht="15" hidden="false" customHeight="false" outlineLevel="0" collapsed="false">
      <c r="A855" s="12" t="str">
        <f aca="false">IF(B855&lt;&gt;"","CS-"&amp;TEXT(852,"000"),"")</f>
        <v/>
      </c>
      <c r="B855" s="13"/>
      <c r="C855" s="13"/>
      <c r="D855" s="13"/>
      <c r="E855" s="13"/>
      <c r="F855" s="13"/>
      <c r="G855" s="13"/>
      <c r="H855" s="13"/>
      <c r="I855" s="14"/>
      <c r="J855" s="13"/>
    </row>
    <row r="856" customFormat="false" ht="15" hidden="false" customHeight="false" outlineLevel="0" collapsed="false">
      <c r="A856" s="12" t="str">
        <f aca="false">IF(B856&lt;&gt;"","CS-"&amp;TEXT(853,"000"),"")</f>
        <v/>
      </c>
      <c r="B856" s="13"/>
      <c r="C856" s="13"/>
      <c r="D856" s="13"/>
      <c r="E856" s="13"/>
      <c r="F856" s="13"/>
      <c r="G856" s="13"/>
      <c r="H856" s="13"/>
      <c r="I856" s="14"/>
      <c r="J856" s="13"/>
    </row>
    <row r="857" customFormat="false" ht="15" hidden="false" customHeight="false" outlineLevel="0" collapsed="false">
      <c r="A857" s="12" t="str">
        <f aca="false">IF(B857&lt;&gt;"","CS-"&amp;TEXT(854,"000"),"")</f>
        <v/>
      </c>
      <c r="B857" s="13"/>
      <c r="C857" s="13"/>
      <c r="D857" s="13"/>
      <c r="E857" s="13"/>
      <c r="F857" s="13"/>
      <c r="G857" s="13"/>
      <c r="H857" s="13"/>
      <c r="I857" s="14"/>
      <c r="J857" s="13"/>
    </row>
    <row r="858" customFormat="false" ht="15" hidden="false" customHeight="false" outlineLevel="0" collapsed="false">
      <c r="A858" s="12" t="str">
        <f aca="false">IF(B858&lt;&gt;"","CS-"&amp;TEXT(855,"000"),"")</f>
        <v/>
      </c>
      <c r="B858" s="13"/>
      <c r="C858" s="13"/>
      <c r="D858" s="13"/>
      <c r="E858" s="13"/>
      <c r="F858" s="13"/>
      <c r="G858" s="13"/>
      <c r="H858" s="13"/>
      <c r="I858" s="14"/>
      <c r="J858" s="13"/>
    </row>
    <row r="859" customFormat="false" ht="15" hidden="false" customHeight="false" outlineLevel="0" collapsed="false">
      <c r="A859" s="12" t="str">
        <f aca="false">IF(B859&lt;&gt;"","CS-"&amp;TEXT(856,"000"),"")</f>
        <v/>
      </c>
      <c r="B859" s="13"/>
      <c r="C859" s="13"/>
      <c r="D859" s="13"/>
      <c r="E859" s="13"/>
      <c r="F859" s="13"/>
      <c r="G859" s="13"/>
      <c r="H859" s="13"/>
      <c r="I859" s="14"/>
      <c r="J859" s="13"/>
    </row>
    <row r="860" customFormat="false" ht="15" hidden="false" customHeight="false" outlineLevel="0" collapsed="false">
      <c r="A860" s="12" t="str">
        <f aca="false">IF(B860&lt;&gt;"","CS-"&amp;TEXT(857,"000"),"")</f>
        <v/>
      </c>
      <c r="B860" s="13"/>
      <c r="C860" s="13"/>
      <c r="D860" s="13"/>
      <c r="E860" s="13"/>
      <c r="F860" s="13"/>
      <c r="G860" s="13"/>
      <c r="H860" s="13"/>
      <c r="I860" s="14"/>
      <c r="J860" s="13"/>
    </row>
    <row r="861" customFormat="false" ht="15" hidden="false" customHeight="false" outlineLevel="0" collapsed="false">
      <c r="A861" s="12" t="str">
        <f aca="false">IF(B861&lt;&gt;"","CS-"&amp;TEXT(858,"000"),"")</f>
        <v/>
      </c>
      <c r="B861" s="13"/>
      <c r="C861" s="13"/>
      <c r="D861" s="13"/>
      <c r="E861" s="13"/>
      <c r="F861" s="13"/>
      <c r="G861" s="13"/>
      <c r="H861" s="13"/>
      <c r="I861" s="14"/>
      <c r="J861" s="13"/>
    </row>
    <row r="862" customFormat="false" ht="15" hidden="false" customHeight="false" outlineLevel="0" collapsed="false">
      <c r="A862" s="12" t="str">
        <f aca="false">IF(B862&lt;&gt;"","CS-"&amp;TEXT(859,"000"),"")</f>
        <v/>
      </c>
      <c r="B862" s="13"/>
      <c r="C862" s="13"/>
      <c r="D862" s="13"/>
      <c r="E862" s="13"/>
      <c r="F862" s="13"/>
      <c r="G862" s="13"/>
      <c r="H862" s="13"/>
      <c r="I862" s="14"/>
      <c r="J862" s="13"/>
    </row>
    <row r="863" customFormat="false" ht="15" hidden="false" customHeight="false" outlineLevel="0" collapsed="false">
      <c r="A863" s="12" t="str">
        <f aca="false">IF(B863&lt;&gt;"","CS-"&amp;TEXT(860,"000"),"")</f>
        <v/>
      </c>
      <c r="B863" s="13"/>
      <c r="C863" s="13"/>
      <c r="D863" s="13"/>
      <c r="E863" s="13"/>
      <c r="F863" s="13"/>
      <c r="G863" s="13"/>
      <c r="H863" s="13"/>
      <c r="I863" s="14"/>
      <c r="J863" s="13"/>
    </row>
    <row r="864" customFormat="false" ht="15" hidden="false" customHeight="false" outlineLevel="0" collapsed="false">
      <c r="A864" s="12" t="str">
        <f aca="false">IF(B864&lt;&gt;"","CS-"&amp;TEXT(861,"000"),"")</f>
        <v/>
      </c>
      <c r="B864" s="13"/>
      <c r="C864" s="13"/>
      <c r="D864" s="13"/>
      <c r="E864" s="13"/>
      <c r="F864" s="13"/>
      <c r="G864" s="13"/>
      <c r="H864" s="13"/>
      <c r="I864" s="14"/>
      <c r="J864" s="13"/>
    </row>
    <row r="865" customFormat="false" ht="15" hidden="false" customHeight="false" outlineLevel="0" collapsed="false">
      <c r="A865" s="12" t="str">
        <f aca="false">IF(B865&lt;&gt;"","CS-"&amp;TEXT(862,"000"),"")</f>
        <v/>
      </c>
      <c r="B865" s="13"/>
      <c r="C865" s="13"/>
      <c r="D865" s="13"/>
      <c r="E865" s="13"/>
      <c r="F865" s="13"/>
      <c r="G865" s="13"/>
      <c r="H865" s="13"/>
      <c r="I865" s="14"/>
      <c r="J865" s="13"/>
    </row>
    <row r="866" customFormat="false" ht="15" hidden="false" customHeight="false" outlineLevel="0" collapsed="false">
      <c r="A866" s="12" t="str">
        <f aca="false">IF(B866&lt;&gt;"","CS-"&amp;TEXT(863,"000"),"")</f>
        <v/>
      </c>
      <c r="B866" s="13"/>
      <c r="C866" s="13"/>
      <c r="D866" s="13"/>
      <c r="E866" s="13"/>
      <c r="F866" s="13"/>
      <c r="G866" s="13"/>
      <c r="H866" s="13"/>
      <c r="I866" s="14"/>
      <c r="J866" s="13"/>
    </row>
    <row r="867" customFormat="false" ht="15" hidden="false" customHeight="false" outlineLevel="0" collapsed="false">
      <c r="A867" s="12" t="str">
        <f aca="false">IF(B867&lt;&gt;"","CS-"&amp;TEXT(864,"000"),"")</f>
        <v/>
      </c>
      <c r="B867" s="13"/>
      <c r="C867" s="13"/>
      <c r="D867" s="13"/>
      <c r="E867" s="13"/>
      <c r="F867" s="13"/>
      <c r="G867" s="13"/>
      <c r="H867" s="13"/>
      <c r="I867" s="14"/>
      <c r="J867" s="13"/>
    </row>
    <row r="868" customFormat="false" ht="15" hidden="false" customHeight="false" outlineLevel="0" collapsed="false">
      <c r="A868" s="12" t="str">
        <f aca="false">IF(B868&lt;&gt;"","CS-"&amp;TEXT(865,"000"),"")</f>
        <v/>
      </c>
      <c r="B868" s="13"/>
      <c r="C868" s="13"/>
      <c r="D868" s="13"/>
      <c r="E868" s="13"/>
      <c r="F868" s="13"/>
      <c r="G868" s="13"/>
      <c r="H868" s="13"/>
      <c r="I868" s="14"/>
      <c r="J868" s="13"/>
    </row>
    <row r="869" customFormat="false" ht="15" hidden="false" customHeight="false" outlineLevel="0" collapsed="false">
      <c r="A869" s="12" t="str">
        <f aca="false">IF(B869&lt;&gt;"","CS-"&amp;TEXT(866,"000"),"")</f>
        <v/>
      </c>
      <c r="B869" s="13"/>
      <c r="C869" s="13"/>
      <c r="D869" s="13"/>
      <c r="E869" s="13"/>
      <c r="F869" s="13"/>
      <c r="G869" s="13"/>
      <c r="H869" s="13"/>
      <c r="I869" s="14"/>
      <c r="J869" s="13"/>
    </row>
    <row r="870" customFormat="false" ht="15" hidden="false" customHeight="false" outlineLevel="0" collapsed="false">
      <c r="A870" s="12" t="str">
        <f aca="false">IF(B870&lt;&gt;"","CS-"&amp;TEXT(867,"000"),"")</f>
        <v/>
      </c>
      <c r="B870" s="13"/>
      <c r="C870" s="13"/>
      <c r="D870" s="13"/>
      <c r="E870" s="13"/>
      <c r="F870" s="13"/>
      <c r="G870" s="13"/>
      <c r="H870" s="13"/>
      <c r="I870" s="14"/>
      <c r="J870" s="13"/>
    </row>
    <row r="871" customFormat="false" ht="15" hidden="false" customHeight="false" outlineLevel="0" collapsed="false">
      <c r="A871" s="12" t="str">
        <f aca="false">IF(B871&lt;&gt;"","CS-"&amp;TEXT(868,"000"),"")</f>
        <v/>
      </c>
      <c r="B871" s="13"/>
      <c r="C871" s="13"/>
      <c r="D871" s="13"/>
      <c r="E871" s="13"/>
      <c r="F871" s="13"/>
      <c r="G871" s="13"/>
      <c r="H871" s="13"/>
      <c r="I871" s="14"/>
      <c r="J871" s="13"/>
    </row>
    <row r="872" customFormat="false" ht="15" hidden="false" customHeight="false" outlineLevel="0" collapsed="false">
      <c r="A872" s="12" t="str">
        <f aca="false">IF(B872&lt;&gt;"","CS-"&amp;TEXT(869,"000"),"")</f>
        <v/>
      </c>
      <c r="B872" s="13"/>
      <c r="C872" s="13"/>
      <c r="D872" s="13"/>
      <c r="E872" s="13"/>
      <c r="F872" s="13"/>
      <c r="G872" s="13"/>
      <c r="H872" s="13"/>
      <c r="I872" s="14"/>
      <c r="J872" s="13"/>
    </row>
    <row r="873" customFormat="false" ht="15" hidden="false" customHeight="false" outlineLevel="0" collapsed="false">
      <c r="A873" s="12" t="str">
        <f aca="false">IF(B873&lt;&gt;"","CS-"&amp;TEXT(870,"000"),"")</f>
        <v/>
      </c>
      <c r="B873" s="13"/>
      <c r="C873" s="13"/>
      <c r="D873" s="13"/>
      <c r="E873" s="13"/>
      <c r="F873" s="13"/>
      <c r="G873" s="13"/>
      <c r="H873" s="13"/>
      <c r="I873" s="14"/>
      <c r="J873" s="13"/>
    </row>
    <row r="874" customFormat="false" ht="15" hidden="false" customHeight="false" outlineLevel="0" collapsed="false">
      <c r="A874" s="12" t="str">
        <f aca="false">IF(B874&lt;&gt;"","CS-"&amp;TEXT(871,"000"),"")</f>
        <v/>
      </c>
      <c r="B874" s="13"/>
      <c r="C874" s="13"/>
      <c r="D874" s="13"/>
      <c r="E874" s="13"/>
      <c r="F874" s="13"/>
      <c r="G874" s="13"/>
      <c r="H874" s="13"/>
      <c r="I874" s="14"/>
      <c r="J874" s="13"/>
    </row>
    <row r="875" customFormat="false" ht="15" hidden="false" customHeight="false" outlineLevel="0" collapsed="false">
      <c r="A875" s="12" t="str">
        <f aca="false">IF(B875&lt;&gt;"","CS-"&amp;TEXT(872,"000"),"")</f>
        <v/>
      </c>
      <c r="B875" s="13"/>
      <c r="C875" s="13"/>
      <c r="D875" s="13"/>
      <c r="E875" s="13"/>
      <c r="F875" s="13"/>
      <c r="G875" s="13"/>
      <c r="H875" s="13"/>
      <c r="I875" s="14"/>
      <c r="J875" s="13"/>
    </row>
    <row r="876" customFormat="false" ht="15" hidden="false" customHeight="false" outlineLevel="0" collapsed="false">
      <c r="A876" s="12" t="str">
        <f aca="false">IF(B876&lt;&gt;"","CS-"&amp;TEXT(873,"000"),"")</f>
        <v/>
      </c>
      <c r="B876" s="13"/>
      <c r="C876" s="13"/>
      <c r="D876" s="13"/>
      <c r="E876" s="13"/>
      <c r="F876" s="13"/>
      <c r="G876" s="13"/>
      <c r="H876" s="13"/>
      <c r="I876" s="14"/>
      <c r="J876" s="13"/>
    </row>
    <row r="877" customFormat="false" ht="15" hidden="false" customHeight="false" outlineLevel="0" collapsed="false">
      <c r="A877" s="12" t="str">
        <f aca="false">IF(B877&lt;&gt;"","CS-"&amp;TEXT(874,"000"),"")</f>
        <v/>
      </c>
      <c r="B877" s="13"/>
      <c r="C877" s="13"/>
      <c r="D877" s="13"/>
      <c r="E877" s="13"/>
      <c r="F877" s="13"/>
      <c r="G877" s="13"/>
      <c r="H877" s="13"/>
      <c r="I877" s="14"/>
      <c r="J877" s="13"/>
    </row>
    <row r="878" customFormat="false" ht="15" hidden="false" customHeight="false" outlineLevel="0" collapsed="false">
      <c r="A878" s="12" t="str">
        <f aca="false">IF(B878&lt;&gt;"","CS-"&amp;TEXT(875,"000"),"")</f>
        <v/>
      </c>
      <c r="B878" s="13"/>
      <c r="C878" s="13"/>
      <c r="D878" s="13"/>
      <c r="E878" s="13"/>
      <c r="F878" s="13"/>
      <c r="G878" s="13"/>
      <c r="H878" s="13"/>
      <c r="I878" s="14"/>
      <c r="J878" s="13"/>
    </row>
    <row r="879" customFormat="false" ht="15" hidden="false" customHeight="false" outlineLevel="0" collapsed="false">
      <c r="A879" s="12" t="str">
        <f aca="false">IF(B879&lt;&gt;"","CS-"&amp;TEXT(876,"000"),"")</f>
        <v/>
      </c>
      <c r="B879" s="13"/>
      <c r="C879" s="13"/>
      <c r="D879" s="13"/>
      <c r="E879" s="13"/>
      <c r="F879" s="13"/>
      <c r="G879" s="13"/>
      <c r="H879" s="13"/>
      <c r="I879" s="14"/>
      <c r="J879" s="13"/>
    </row>
    <row r="880" customFormat="false" ht="15" hidden="false" customHeight="false" outlineLevel="0" collapsed="false">
      <c r="A880" s="12" t="str">
        <f aca="false">IF(B880&lt;&gt;"","CS-"&amp;TEXT(877,"000"),"")</f>
        <v/>
      </c>
      <c r="B880" s="13"/>
      <c r="C880" s="13"/>
      <c r="D880" s="13"/>
      <c r="E880" s="13"/>
      <c r="F880" s="13"/>
      <c r="G880" s="13"/>
      <c r="H880" s="13"/>
      <c r="I880" s="14"/>
      <c r="J880" s="13"/>
    </row>
    <row r="881" customFormat="false" ht="15" hidden="false" customHeight="false" outlineLevel="0" collapsed="false">
      <c r="A881" s="12" t="str">
        <f aca="false">IF(B881&lt;&gt;"","CS-"&amp;TEXT(878,"000"),"")</f>
        <v/>
      </c>
      <c r="B881" s="13"/>
      <c r="C881" s="13"/>
      <c r="D881" s="13"/>
      <c r="E881" s="13"/>
      <c r="F881" s="13"/>
      <c r="G881" s="13"/>
      <c r="H881" s="13"/>
      <c r="I881" s="14"/>
      <c r="J881" s="13"/>
    </row>
    <row r="882" customFormat="false" ht="15" hidden="false" customHeight="false" outlineLevel="0" collapsed="false">
      <c r="A882" s="12" t="str">
        <f aca="false">IF(B882&lt;&gt;"","CS-"&amp;TEXT(879,"000"),"")</f>
        <v/>
      </c>
      <c r="B882" s="13"/>
      <c r="C882" s="13"/>
      <c r="D882" s="13"/>
      <c r="E882" s="13"/>
      <c r="F882" s="13"/>
      <c r="G882" s="13"/>
      <c r="H882" s="13"/>
      <c r="I882" s="14"/>
      <c r="J882" s="13"/>
    </row>
    <row r="883" customFormat="false" ht="15" hidden="false" customHeight="false" outlineLevel="0" collapsed="false">
      <c r="A883" s="12" t="str">
        <f aca="false">IF(B883&lt;&gt;"","CS-"&amp;TEXT(880,"000"),"")</f>
        <v/>
      </c>
      <c r="B883" s="13"/>
      <c r="C883" s="13"/>
      <c r="D883" s="13"/>
      <c r="E883" s="13"/>
      <c r="F883" s="13"/>
      <c r="G883" s="13"/>
      <c r="H883" s="13"/>
      <c r="I883" s="14"/>
      <c r="J883" s="13"/>
    </row>
    <row r="884" customFormat="false" ht="15" hidden="false" customHeight="false" outlineLevel="0" collapsed="false">
      <c r="A884" s="12" t="str">
        <f aca="false">IF(B884&lt;&gt;"","CS-"&amp;TEXT(881,"000"),"")</f>
        <v/>
      </c>
      <c r="B884" s="13"/>
      <c r="C884" s="13"/>
      <c r="D884" s="13"/>
      <c r="E884" s="13"/>
      <c r="F884" s="13"/>
      <c r="G884" s="13"/>
      <c r="H884" s="13"/>
      <c r="I884" s="14"/>
      <c r="J884" s="13"/>
    </row>
    <row r="885" customFormat="false" ht="15" hidden="false" customHeight="false" outlineLevel="0" collapsed="false">
      <c r="A885" s="12" t="str">
        <f aca="false">IF(B885&lt;&gt;"","CS-"&amp;TEXT(882,"000"),"")</f>
        <v/>
      </c>
      <c r="B885" s="13"/>
      <c r="C885" s="13"/>
      <c r="D885" s="13"/>
      <c r="E885" s="13"/>
      <c r="F885" s="13"/>
      <c r="G885" s="13"/>
      <c r="H885" s="13"/>
      <c r="I885" s="14"/>
      <c r="J885" s="13"/>
    </row>
    <row r="886" customFormat="false" ht="15" hidden="false" customHeight="false" outlineLevel="0" collapsed="false">
      <c r="A886" s="12" t="str">
        <f aca="false">IF(B886&lt;&gt;"","CS-"&amp;TEXT(883,"000"),"")</f>
        <v/>
      </c>
      <c r="B886" s="13"/>
      <c r="C886" s="13"/>
      <c r="D886" s="13"/>
      <c r="E886" s="13"/>
      <c r="F886" s="13"/>
      <c r="G886" s="13"/>
      <c r="H886" s="13"/>
      <c r="I886" s="14"/>
      <c r="J886" s="13"/>
    </row>
    <row r="887" customFormat="false" ht="15" hidden="false" customHeight="false" outlineLevel="0" collapsed="false">
      <c r="A887" s="12" t="str">
        <f aca="false">IF(B887&lt;&gt;"","CS-"&amp;TEXT(884,"000"),"")</f>
        <v/>
      </c>
      <c r="B887" s="13"/>
      <c r="C887" s="13"/>
      <c r="D887" s="13"/>
      <c r="E887" s="13"/>
      <c r="F887" s="13"/>
      <c r="G887" s="13"/>
      <c r="H887" s="13"/>
      <c r="I887" s="14"/>
      <c r="J887" s="13"/>
    </row>
    <row r="888" customFormat="false" ht="15" hidden="false" customHeight="false" outlineLevel="0" collapsed="false">
      <c r="A888" s="12" t="str">
        <f aca="false">IF(B888&lt;&gt;"","CS-"&amp;TEXT(885,"000"),"")</f>
        <v/>
      </c>
      <c r="B888" s="13"/>
      <c r="C888" s="13"/>
      <c r="D888" s="13"/>
      <c r="E888" s="13"/>
      <c r="F888" s="13"/>
      <c r="G888" s="13"/>
      <c r="H888" s="13"/>
      <c r="I888" s="14"/>
      <c r="J888" s="13"/>
    </row>
    <row r="889" customFormat="false" ht="15" hidden="false" customHeight="false" outlineLevel="0" collapsed="false">
      <c r="A889" s="12" t="str">
        <f aca="false">IF(B889&lt;&gt;"","CS-"&amp;TEXT(886,"000"),"")</f>
        <v/>
      </c>
      <c r="B889" s="13"/>
      <c r="C889" s="13"/>
      <c r="D889" s="13"/>
      <c r="E889" s="13"/>
      <c r="F889" s="13"/>
      <c r="G889" s="13"/>
      <c r="H889" s="13"/>
      <c r="I889" s="14"/>
      <c r="J889" s="13"/>
    </row>
    <row r="890" customFormat="false" ht="15" hidden="false" customHeight="false" outlineLevel="0" collapsed="false">
      <c r="A890" s="12" t="str">
        <f aca="false">IF(B890&lt;&gt;"","CS-"&amp;TEXT(887,"000"),"")</f>
        <v/>
      </c>
      <c r="B890" s="13"/>
      <c r="C890" s="13"/>
      <c r="D890" s="13"/>
      <c r="E890" s="13"/>
      <c r="F890" s="13"/>
      <c r="G890" s="13"/>
      <c r="H890" s="13"/>
      <c r="I890" s="14"/>
      <c r="J890" s="13"/>
    </row>
    <row r="891" customFormat="false" ht="15" hidden="false" customHeight="false" outlineLevel="0" collapsed="false">
      <c r="A891" s="12" t="str">
        <f aca="false">IF(B891&lt;&gt;"","CS-"&amp;TEXT(888,"000"),"")</f>
        <v/>
      </c>
      <c r="B891" s="13"/>
      <c r="C891" s="13"/>
      <c r="D891" s="13"/>
      <c r="E891" s="13"/>
      <c r="F891" s="13"/>
      <c r="G891" s="13"/>
      <c r="H891" s="13"/>
      <c r="I891" s="14"/>
      <c r="J891" s="13"/>
    </row>
    <row r="892" customFormat="false" ht="15" hidden="false" customHeight="false" outlineLevel="0" collapsed="false">
      <c r="A892" s="12" t="str">
        <f aca="false">IF(B892&lt;&gt;"","CS-"&amp;TEXT(889,"000"),"")</f>
        <v/>
      </c>
      <c r="B892" s="13"/>
      <c r="C892" s="13"/>
      <c r="D892" s="13"/>
      <c r="E892" s="13"/>
      <c r="F892" s="13"/>
      <c r="G892" s="13"/>
      <c r="H892" s="13"/>
      <c r="I892" s="14"/>
      <c r="J892" s="13"/>
    </row>
    <row r="893" customFormat="false" ht="15" hidden="false" customHeight="false" outlineLevel="0" collapsed="false">
      <c r="A893" s="12" t="str">
        <f aca="false">IF(B893&lt;&gt;"","CS-"&amp;TEXT(890,"000"),"")</f>
        <v/>
      </c>
      <c r="B893" s="13"/>
      <c r="C893" s="13"/>
      <c r="D893" s="13"/>
      <c r="E893" s="13"/>
      <c r="F893" s="13"/>
      <c r="G893" s="13"/>
      <c r="H893" s="13"/>
      <c r="I893" s="14"/>
      <c r="J893" s="13"/>
    </row>
    <row r="894" customFormat="false" ht="15" hidden="false" customHeight="false" outlineLevel="0" collapsed="false">
      <c r="A894" s="12" t="str">
        <f aca="false">IF(B894&lt;&gt;"","CS-"&amp;TEXT(891,"000"),"")</f>
        <v/>
      </c>
      <c r="B894" s="13"/>
      <c r="C894" s="13"/>
      <c r="D894" s="13"/>
      <c r="E894" s="13"/>
      <c r="F894" s="13"/>
      <c r="G894" s="13"/>
      <c r="H894" s="13"/>
      <c r="I894" s="14"/>
      <c r="J894" s="13"/>
    </row>
    <row r="895" customFormat="false" ht="15" hidden="false" customHeight="false" outlineLevel="0" collapsed="false">
      <c r="A895" s="12" t="str">
        <f aca="false">IF(B895&lt;&gt;"","CS-"&amp;TEXT(892,"000"),"")</f>
        <v/>
      </c>
      <c r="B895" s="13"/>
      <c r="C895" s="13"/>
      <c r="D895" s="13"/>
      <c r="E895" s="13"/>
      <c r="F895" s="13"/>
      <c r="G895" s="13"/>
      <c r="H895" s="13"/>
      <c r="I895" s="14"/>
      <c r="J895" s="13"/>
    </row>
    <row r="896" customFormat="false" ht="15" hidden="false" customHeight="false" outlineLevel="0" collapsed="false">
      <c r="A896" s="12" t="str">
        <f aca="false">IF(B896&lt;&gt;"","CS-"&amp;TEXT(893,"000"),"")</f>
        <v/>
      </c>
      <c r="B896" s="13"/>
      <c r="C896" s="13"/>
      <c r="D896" s="13"/>
      <c r="E896" s="13"/>
      <c r="F896" s="13"/>
      <c r="G896" s="13"/>
      <c r="H896" s="13"/>
      <c r="I896" s="14"/>
      <c r="J896" s="13"/>
    </row>
    <row r="897" customFormat="false" ht="15" hidden="false" customHeight="false" outlineLevel="0" collapsed="false">
      <c r="A897" s="12" t="str">
        <f aca="false">IF(B897&lt;&gt;"","CS-"&amp;TEXT(894,"000"),"")</f>
        <v/>
      </c>
      <c r="B897" s="13"/>
      <c r="C897" s="13"/>
      <c r="D897" s="13"/>
      <c r="E897" s="13"/>
      <c r="F897" s="13"/>
      <c r="G897" s="13"/>
      <c r="H897" s="13"/>
      <c r="I897" s="14"/>
      <c r="J897" s="13"/>
    </row>
    <row r="898" customFormat="false" ht="15" hidden="false" customHeight="false" outlineLevel="0" collapsed="false">
      <c r="A898" s="12" t="str">
        <f aca="false">IF(B898&lt;&gt;"","CS-"&amp;TEXT(895,"000"),"")</f>
        <v/>
      </c>
      <c r="B898" s="13"/>
      <c r="C898" s="13"/>
      <c r="D898" s="13"/>
      <c r="E898" s="13"/>
      <c r="F898" s="13"/>
      <c r="G898" s="13"/>
      <c r="H898" s="13"/>
      <c r="I898" s="14"/>
      <c r="J898" s="13"/>
    </row>
    <row r="899" customFormat="false" ht="15" hidden="false" customHeight="false" outlineLevel="0" collapsed="false">
      <c r="A899" s="12" t="str">
        <f aca="false">IF(B899&lt;&gt;"","CS-"&amp;TEXT(896,"000"),"")</f>
        <v/>
      </c>
      <c r="B899" s="13"/>
      <c r="C899" s="13"/>
      <c r="D899" s="13"/>
      <c r="E899" s="13"/>
      <c r="F899" s="13"/>
      <c r="G899" s="13"/>
      <c r="H899" s="13"/>
      <c r="I899" s="14"/>
      <c r="J899" s="13"/>
    </row>
    <row r="900" customFormat="false" ht="15" hidden="false" customHeight="false" outlineLevel="0" collapsed="false">
      <c r="A900" s="12" t="str">
        <f aca="false">IF(B900&lt;&gt;"","CS-"&amp;TEXT(897,"000"),"")</f>
        <v/>
      </c>
      <c r="B900" s="13"/>
      <c r="C900" s="13"/>
      <c r="D900" s="13"/>
      <c r="E900" s="13"/>
      <c r="F900" s="13"/>
      <c r="G900" s="13"/>
      <c r="H900" s="13"/>
      <c r="I900" s="14"/>
      <c r="J900" s="13"/>
    </row>
    <row r="901" customFormat="false" ht="15" hidden="false" customHeight="false" outlineLevel="0" collapsed="false">
      <c r="A901" s="12" t="str">
        <f aca="false">IF(B901&lt;&gt;"","CS-"&amp;TEXT(898,"000"),"")</f>
        <v/>
      </c>
      <c r="B901" s="13"/>
      <c r="C901" s="13"/>
      <c r="D901" s="13"/>
      <c r="E901" s="13"/>
      <c r="F901" s="13"/>
      <c r="G901" s="13"/>
      <c r="H901" s="13"/>
      <c r="I901" s="14"/>
      <c r="J901" s="13"/>
    </row>
    <row r="902" customFormat="false" ht="15" hidden="false" customHeight="false" outlineLevel="0" collapsed="false">
      <c r="A902" s="12" t="str">
        <f aca="false">IF(B902&lt;&gt;"","CS-"&amp;TEXT(899,"000"),"")</f>
        <v/>
      </c>
      <c r="B902" s="13"/>
      <c r="C902" s="13"/>
      <c r="D902" s="13"/>
      <c r="E902" s="13"/>
      <c r="F902" s="13"/>
      <c r="G902" s="13"/>
      <c r="H902" s="13"/>
      <c r="I902" s="14"/>
      <c r="J902" s="13"/>
    </row>
    <row r="903" customFormat="false" ht="15" hidden="false" customHeight="false" outlineLevel="0" collapsed="false">
      <c r="A903" s="12" t="str">
        <f aca="false">IF(B903&lt;&gt;"","CS-"&amp;TEXT(900,"000"),"")</f>
        <v/>
      </c>
      <c r="B903" s="13"/>
      <c r="C903" s="13"/>
      <c r="D903" s="13"/>
      <c r="E903" s="13"/>
      <c r="F903" s="13"/>
      <c r="G903" s="13"/>
      <c r="H903" s="13"/>
      <c r="I903" s="14"/>
      <c r="J903" s="13"/>
    </row>
    <row r="904" customFormat="false" ht="15" hidden="false" customHeight="false" outlineLevel="0" collapsed="false">
      <c r="A904" s="12" t="str">
        <f aca="false">IF(B904&lt;&gt;"","CS-"&amp;TEXT(901,"000"),"")</f>
        <v/>
      </c>
      <c r="B904" s="13"/>
      <c r="C904" s="13"/>
      <c r="D904" s="13"/>
      <c r="E904" s="13"/>
      <c r="F904" s="13"/>
      <c r="G904" s="13"/>
      <c r="H904" s="13"/>
      <c r="I904" s="14"/>
      <c r="J904" s="13"/>
    </row>
    <row r="905" customFormat="false" ht="15" hidden="false" customHeight="false" outlineLevel="0" collapsed="false">
      <c r="A905" s="12" t="str">
        <f aca="false">IF(B905&lt;&gt;"","CS-"&amp;TEXT(902,"000"),"")</f>
        <v/>
      </c>
      <c r="B905" s="13"/>
      <c r="C905" s="13"/>
      <c r="D905" s="13"/>
      <c r="E905" s="13"/>
      <c r="F905" s="13"/>
      <c r="G905" s="13"/>
      <c r="H905" s="13"/>
      <c r="I905" s="14"/>
      <c r="J905" s="13"/>
    </row>
    <row r="906" customFormat="false" ht="15" hidden="false" customHeight="false" outlineLevel="0" collapsed="false">
      <c r="A906" s="12" t="str">
        <f aca="false">IF(B906&lt;&gt;"","CS-"&amp;TEXT(903,"000"),"")</f>
        <v/>
      </c>
      <c r="B906" s="13"/>
      <c r="C906" s="13"/>
      <c r="D906" s="13"/>
      <c r="E906" s="13"/>
      <c r="F906" s="13"/>
      <c r="G906" s="13"/>
      <c r="H906" s="13"/>
      <c r="I906" s="14"/>
      <c r="J906" s="13"/>
    </row>
    <row r="907" customFormat="false" ht="15" hidden="false" customHeight="false" outlineLevel="0" collapsed="false">
      <c r="A907" s="12" t="str">
        <f aca="false">IF(B907&lt;&gt;"","CS-"&amp;TEXT(904,"000"),"")</f>
        <v/>
      </c>
      <c r="B907" s="13"/>
      <c r="C907" s="13"/>
      <c r="D907" s="13"/>
      <c r="E907" s="13"/>
      <c r="F907" s="13"/>
      <c r="G907" s="13"/>
      <c r="H907" s="13"/>
      <c r="I907" s="14"/>
      <c r="J907" s="13"/>
    </row>
    <row r="908" customFormat="false" ht="15" hidden="false" customHeight="false" outlineLevel="0" collapsed="false">
      <c r="A908" s="12" t="str">
        <f aca="false">IF(B908&lt;&gt;"","CS-"&amp;TEXT(905,"000"),"")</f>
        <v/>
      </c>
      <c r="B908" s="13"/>
      <c r="C908" s="13"/>
      <c r="D908" s="13"/>
      <c r="E908" s="13"/>
      <c r="F908" s="13"/>
      <c r="G908" s="13"/>
      <c r="H908" s="13"/>
      <c r="I908" s="14"/>
      <c r="J908" s="13"/>
    </row>
    <row r="909" customFormat="false" ht="15" hidden="false" customHeight="false" outlineLevel="0" collapsed="false">
      <c r="A909" s="12" t="str">
        <f aca="false">IF(B909&lt;&gt;"","CS-"&amp;TEXT(906,"000"),"")</f>
        <v/>
      </c>
      <c r="B909" s="13"/>
      <c r="C909" s="13"/>
      <c r="D909" s="13"/>
      <c r="E909" s="13"/>
      <c r="F909" s="13"/>
      <c r="G909" s="13"/>
      <c r="H909" s="13"/>
      <c r="I909" s="14"/>
      <c r="J909" s="13"/>
    </row>
    <row r="910" customFormat="false" ht="15" hidden="false" customHeight="false" outlineLevel="0" collapsed="false">
      <c r="A910" s="12" t="str">
        <f aca="false">IF(B910&lt;&gt;"","CS-"&amp;TEXT(907,"000"),"")</f>
        <v/>
      </c>
      <c r="B910" s="13"/>
      <c r="C910" s="13"/>
      <c r="D910" s="13"/>
      <c r="E910" s="13"/>
      <c r="F910" s="13"/>
      <c r="G910" s="13"/>
      <c r="H910" s="13"/>
      <c r="I910" s="14"/>
      <c r="J910" s="13"/>
    </row>
    <row r="911" customFormat="false" ht="15" hidden="false" customHeight="false" outlineLevel="0" collapsed="false">
      <c r="A911" s="12" t="str">
        <f aca="false">IF(B911&lt;&gt;"","CS-"&amp;TEXT(908,"000"),"")</f>
        <v/>
      </c>
      <c r="B911" s="13"/>
      <c r="C911" s="13"/>
      <c r="D911" s="13"/>
      <c r="E911" s="13"/>
      <c r="F911" s="13"/>
      <c r="G911" s="13"/>
      <c r="H911" s="13"/>
      <c r="I911" s="14"/>
      <c r="J911" s="13"/>
    </row>
    <row r="912" customFormat="false" ht="15" hidden="false" customHeight="false" outlineLevel="0" collapsed="false">
      <c r="A912" s="12" t="str">
        <f aca="false">IF(B912&lt;&gt;"","CS-"&amp;TEXT(909,"000"),"")</f>
        <v/>
      </c>
      <c r="B912" s="13"/>
      <c r="C912" s="13"/>
      <c r="D912" s="13"/>
      <c r="E912" s="13"/>
      <c r="F912" s="13"/>
      <c r="G912" s="13"/>
      <c r="H912" s="13"/>
      <c r="I912" s="14"/>
      <c r="J912" s="13"/>
    </row>
    <row r="913" customFormat="false" ht="15" hidden="false" customHeight="false" outlineLevel="0" collapsed="false">
      <c r="A913" s="12" t="str">
        <f aca="false">IF(B913&lt;&gt;"","CS-"&amp;TEXT(910,"000"),"")</f>
        <v/>
      </c>
      <c r="B913" s="13"/>
      <c r="C913" s="13"/>
      <c r="D913" s="13"/>
      <c r="E913" s="13"/>
      <c r="F913" s="13"/>
      <c r="G913" s="13"/>
      <c r="H913" s="13"/>
      <c r="I913" s="14"/>
      <c r="J913" s="13"/>
    </row>
    <row r="914" customFormat="false" ht="15" hidden="false" customHeight="false" outlineLevel="0" collapsed="false">
      <c r="A914" s="12" t="str">
        <f aca="false">IF(B914&lt;&gt;"","CS-"&amp;TEXT(911,"000"),"")</f>
        <v/>
      </c>
      <c r="B914" s="13"/>
      <c r="C914" s="13"/>
      <c r="D914" s="13"/>
      <c r="E914" s="13"/>
      <c r="F914" s="13"/>
      <c r="G914" s="13"/>
      <c r="H914" s="13"/>
      <c r="I914" s="14"/>
      <c r="J914" s="13"/>
    </row>
    <row r="915" customFormat="false" ht="15" hidden="false" customHeight="false" outlineLevel="0" collapsed="false">
      <c r="A915" s="12" t="str">
        <f aca="false">IF(B915&lt;&gt;"","CS-"&amp;TEXT(912,"000"),"")</f>
        <v/>
      </c>
      <c r="B915" s="13"/>
      <c r="C915" s="13"/>
      <c r="D915" s="13"/>
      <c r="E915" s="13"/>
      <c r="F915" s="13"/>
      <c r="G915" s="13"/>
      <c r="H915" s="13"/>
      <c r="I915" s="14"/>
      <c r="J915" s="13"/>
    </row>
    <row r="916" customFormat="false" ht="15" hidden="false" customHeight="false" outlineLevel="0" collapsed="false">
      <c r="A916" s="12" t="str">
        <f aca="false">IF(B916&lt;&gt;"","CS-"&amp;TEXT(913,"000"),"")</f>
        <v/>
      </c>
      <c r="B916" s="13"/>
      <c r="C916" s="13"/>
      <c r="D916" s="13"/>
      <c r="E916" s="13"/>
      <c r="F916" s="13"/>
      <c r="G916" s="13"/>
      <c r="H916" s="13"/>
      <c r="I916" s="14"/>
      <c r="J916" s="13"/>
    </row>
    <row r="917" customFormat="false" ht="15" hidden="false" customHeight="false" outlineLevel="0" collapsed="false">
      <c r="A917" s="12" t="str">
        <f aca="false">IF(B917&lt;&gt;"","CS-"&amp;TEXT(914,"000"),"")</f>
        <v/>
      </c>
      <c r="B917" s="13"/>
      <c r="C917" s="13"/>
      <c r="D917" s="13"/>
      <c r="E917" s="13"/>
      <c r="F917" s="13"/>
      <c r="G917" s="13"/>
      <c r="H917" s="13"/>
      <c r="I917" s="14"/>
      <c r="J917" s="13"/>
    </row>
    <row r="918" customFormat="false" ht="15" hidden="false" customHeight="false" outlineLevel="0" collapsed="false">
      <c r="A918" s="12" t="str">
        <f aca="false">IF(B918&lt;&gt;"","CS-"&amp;TEXT(915,"000"),"")</f>
        <v/>
      </c>
      <c r="B918" s="13"/>
      <c r="C918" s="13"/>
      <c r="D918" s="13"/>
      <c r="E918" s="13"/>
      <c r="F918" s="13"/>
      <c r="G918" s="13"/>
      <c r="H918" s="13"/>
      <c r="I918" s="14"/>
      <c r="J918" s="13"/>
    </row>
    <row r="919" customFormat="false" ht="15" hidden="false" customHeight="false" outlineLevel="0" collapsed="false">
      <c r="A919" s="12" t="str">
        <f aca="false">IF(B919&lt;&gt;"","CS-"&amp;TEXT(916,"000"),"")</f>
        <v/>
      </c>
      <c r="B919" s="13"/>
      <c r="C919" s="13"/>
      <c r="D919" s="13"/>
      <c r="E919" s="13"/>
      <c r="F919" s="13"/>
      <c r="G919" s="13"/>
      <c r="H919" s="13"/>
      <c r="I919" s="14"/>
      <c r="J919" s="13"/>
    </row>
    <row r="920" customFormat="false" ht="15" hidden="false" customHeight="false" outlineLevel="0" collapsed="false">
      <c r="A920" s="12" t="str">
        <f aca="false">IF(B920&lt;&gt;"","CS-"&amp;TEXT(917,"000"),"")</f>
        <v/>
      </c>
      <c r="B920" s="13"/>
      <c r="C920" s="13"/>
      <c r="D920" s="13"/>
      <c r="E920" s="13"/>
      <c r="F920" s="13"/>
      <c r="G920" s="13"/>
      <c r="H920" s="13"/>
      <c r="I920" s="14"/>
      <c r="J920" s="13"/>
    </row>
    <row r="921" customFormat="false" ht="15" hidden="false" customHeight="false" outlineLevel="0" collapsed="false">
      <c r="A921" s="12" t="str">
        <f aca="false">IF(B921&lt;&gt;"","CS-"&amp;TEXT(918,"000"),"")</f>
        <v/>
      </c>
      <c r="B921" s="13"/>
      <c r="C921" s="13"/>
      <c r="D921" s="13"/>
      <c r="E921" s="13"/>
      <c r="F921" s="13"/>
      <c r="G921" s="13"/>
      <c r="H921" s="13"/>
      <c r="I921" s="14"/>
      <c r="J921" s="13"/>
    </row>
    <row r="922" customFormat="false" ht="15" hidden="false" customHeight="false" outlineLevel="0" collapsed="false">
      <c r="A922" s="12" t="str">
        <f aca="false">IF(B922&lt;&gt;"","CS-"&amp;TEXT(919,"000"),"")</f>
        <v/>
      </c>
      <c r="B922" s="13"/>
      <c r="C922" s="13"/>
      <c r="D922" s="13"/>
      <c r="E922" s="13"/>
      <c r="F922" s="13"/>
      <c r="G922" s="13"/>
      <c r="H922" s="13"/>
      <c r="I922" s="14"/>
      <c r="J922" s="13"/>
    </row>
    <row r="923" customFormat="false" ht="15" hidden="false" customHeight="false" outlineLevel="0" collapsed="false">
      <c r="A923" s="12" t="str">
        <f aca="false">IF(B923&lt;&gt;"","CS-"&amp;TEXT(920,"000"),"")</f>
        <v/>
      </c>
      <c r="B923" s="13"/>
      <c r="C923" s="13"/>
      <c r="D923" s="13"/>
      <c r="E923" s="13"/>
      <c r="F923" s="13"/>
      <c r="G923" s="13"/>
      <c r="H923" s="13"/>
      <c r="I923" s="14"/>
      <c r="J923" s="13"/>
    </row>
    <row r="924" customFormat="false" ht="15" hidden="false" customHeight="false" outlineLevel="0" collapsed="false">
      <c r="A924" s="12" t="str">
        <f aca="false">IF(B924&lt;&gt;"","CS-"&amp;TEXT(921,"000"),"")</f>
        <v/>
      </c>
      <c r="B924" s="13"/>
      <c r="C924" s="13"/>
      <c r="D924" s="13"/>
      <c r="E924" s="13"/>
      <c r="F924" s="13"/>
      <c r="G924" s="13"/>
      <c r="H924" s="13"/>
      <c r="I924" s="14"/>
      <c r="J924" s="13"/>
    </row>
    <row r="925" customFormat="false" ht="15" hidden="false" customHeight="false" outlineLevel="0" collapsed="false">
      <c r="A925" s="12" t="str">
        <f aca="false">IF(B925&lt;&gt;"","CS-"&amp;TEXT(922,"000"),"")</f>
        <v/>
      </c>
      <c r="B925" s="13"/>
      <c r="C925" s="13"/>
      <c r="D925" s="13"/>
      <c r="E925" s="13"/>
      <c r="F925" s="13"/>
      <c r="G925" s="13"/>
      <c r="H925" s="13"/>
      <c r="I925" s="14"/>
      <c r="J925" s="13"/>
    </row>
    <row r="926" customFormat="false" ht="15" hidden="false" customHeight="false" outlineLevel="0" collapsed="false">
      <c r="A926" s="12" t="str">
        <f aca="false">IF(B926&lt;&gt;"","CS-"&amp;TEXT(923,"000"),"")</f>
        <v/>
      </c>
      <c r="B926" s="13"/>
      <c r="C926" s="13"/>
      <c r="D926" s="13"/>
      <c r="E926" s="13"/>
      <c r="F926" s="13"/>
      <c r="G926" s="13"/>
      <c r="H926" s="13"/>
      <c r="I926" s="14"/>
      <c r="J926" s="13"/>
    </row>
    <row r="927" customFormat="false" ht="15" hidden="false" customHeight="false" outlineLevel="0" collapsed="false">
      <c r="A927" s="12" t="str">
        <f aca="false">IF(B927&lt;&gt;"","CS-"&amp;TEXT(924,"000"),"")</f>
        <v/>
      </c>
      <c r="B927" s="13"/>
      <c r="C927" s="13"/>
      <c r="D927" s="13"/>
      <c r="E927" s="13"/>
      <c r="F927" s="13"/>
      <c r="G927" s="13"/>
      <c r="H927" s="13"/>
      <c r="I927" s="14"/>
      <c r="J927" s="13"/>
    </row>
    <row r="928" customFormat="false" ht="15" hidden="false" customHeight="false" outlineLevel="0" collapsed="false">
      <c r="A928" s="12" t="str">
        <f aca="false">IF(B928&lt;&gt;"","CS-"&amp;TEXT(925,"000"),"")</f>
        <v/>
      </c>
      <c r="B928" s="13"/>
      <c r="C928" s="13"/>
      <c r="D928" s="13"/>
      <c r="E928" s="13"/>
      <c r="F928" s="13"/>
      <c r="G928" s="13"/>
      <c r="H928" s="13"/>
      <c r="I928" s="14"/>
      <c r="J928" s="13"/>
    </row>
    <row r="929" customFormat="false" ht="15" hidden="false" customHeight="false" outlineLevel="0" collapsed="false">
      <c r="A929" s="12" t="str">
        <f aca="false">IF(B929&lt;&gt;"","CS-"&amp;TEXT(926,"000"),"")</f>
        <v/>
      </c>
      <c r="B929" s="13"/>
      <c r="C929" s="13"/>
      <c r="D929" s="13"/>
      <c r="E929" s="13"/>
      <c r="F929" s="13"/>
      <c r="G929" s="13"/>
      <c r="H929" s="13"/>
      <c r="I929" s="14"/>
      <c r="J929" s="13"/>
    </row>
    <row r="930" customFormat="false" ht="15" hidden="false" customHeight="false" outlineLevel="0" collapsed="false">
      <c r="A930" s="12" t="str">
        <f aca="false">IF(B930&lt;&gt;"","CS-"&amp;TEXT(927,"000"),"")</f>
        <v/>
      </c>
      <c r="B930" s="13"/>
      <c r="C930" s="13"/>
      <c r="D930" s="13"/>
      <c r="E930" s="13"/>
      <c r="F930" s="13"/>
      <c r="G930" s="13"/>
      <c r="H930" s="13"/>
      <c r="I930" s="14"/>
      <c r="J930" s="13"/>
    </row>
    <row r="931" customFormat="false" ht="15" hidden="false" customHeight="false" outlineLevel="0" collapsed="false">
      <c r="A931" s="12" t="str">
        <f aca="false">IF(B931&lt;&gt;"","CS-"&amp;TEXT(928,"000"),"")</f>
        <v/>
      </c>
      <c r="B931" s="13"/>
      <c r="C931" s="13"/>
      <c r="D931" s="13"/>
      <c r="E931" s="13"/>
      <c r="F931" s="13"/>
      <c r="G931" s="13"/>
      <c r="H931" s="13"/>
      <c r="I931" s="14"/>
      <c r="J931" s="13"/>
    </row>
    <row r="932" customFormat="false" ht="15" hidden="false" customHeight="false" outlineLevel="0" collapsed="false">
      <c r="A932" s="12" t="str">
        <f aca="false">IF(B932&lt;&gt;"","CS-"&amp;TEXT(929,"000"),"")</f>
        <v/>
      </c>
      <c r="B932" s="13"/>
      <c r="C932" s="13"/>
      <c r="D932" s="13"/>
      <c r="E932" s="13"/>
      <c r="F932" s="13"/>
      <c r="G932" s="13"/>
      <c r="H932" s="13"/>
      <c r="I932" s="14"/>
      <c r="J932" s="13"/>
    </row>
    <row r="933" customFormat="false" ht="15" hidden="false" customHeight="false" outlineLevel="0" collapsed="false">
      <c r="A933" s="12" t="str">
        <f aca="false">IF(B933&lt;&gt;"","CS-"&amp;TEXT(930,"000"),"")</f>
        <v/>
      </c>
      <c r="B933" s="13"/>
      <c r="C933" s="13"/>
      <c r="D933" s="13"/>
      <c r="E933" s="13"/>
      <c r="F933" s="13"/>
      <c r="G933" s="13"/>
      <c r="H933" s="13"/>
      <c r="I933" s="14"/>
      <c r="J933" s="13"/>
    </row>
    <row r="934" customFormat="false" ht="15" hidden="false" customHeight="false" outlineLevel="0" collapsed="false">
      <c r="A934" s="12" t="str">
        <f aca="false">IF(B934&lt;&gt;"","CS-"&amp;TEXT(931,"000"),"")</f>
        <v/>
      </c>
      <c r="B934" s="13"/>
      <c r="C934" s="13"/>
      <c r="D934" s="13"/>
      <c r="E934" s="13"/>
      <c r="F934" s="13"/>
      <c r="G934" s="13"/>
      <c r="H934" s="13"/>
      <c r="I934" s="14"/>
      <c r="J934" s="13"/>
    </row>
    <row r="935" customFormat="false" ht="15" hidden="false" customHeight="false" outlineLevel="0" collapsed="false">
      <c r="A935" s="12" t="str">
        <f aca="false">IF(B935&lt;&gt;"","CS-"&amp;TEXT(932,"000"),"")</f>
        <v/>
      </c>
      <c r="B935" s="13"/>
      <c r="C935" s="13"/>
      <c r="D935" s="13"/>
      <c r="E935" s="13"/>
      <c r="F935" s="13"/>
      <c r="G935" s="13"/>
      <c r="H935" s="13"/>
      <c r="I935" s="14"/>
      <c r="J935" s="13"/>
    </row>
    <row r="936" customFormat="false" ht="15" hidden="false" customHeight="false" outlineLevel="0" collapsed="false">
      <c r="A936" s="12" t="str">
        <f aca="false">IF(B936&lt;&gt;"","CS-"&amp;TEXT(933,"000"),"")</f>
        <v/>
      </c>
      <c r="B936" s="13"/>
      <c r="C936" s="13"/>
      <c r="D936" s="13"/>
      <c r="E936" s="13"/>
      <c r="F936" s="13"/>
      <c r="G936" s="13"/>
      <c r="H936" s="13"/>
      <c r="I936" s="14"/>
      <c r="J936" s="13"/>
    </row>
    <row r="937" customFormat="false" ht="15" hidden="false" customHeight="false" outlineLevel="0" collapsed="false">
      <c r="A937" s="12" t="str">
        <f aca="false">IF(B937&lt;&gt;"","CS-"&amp;TEXT(934,"000"),"")</f>
        <v/>
      </c>
      <c r="B937" s="13"/>
      <c r="C937" s="13"/>
      <c r="D937" s="13"/>
      <c r="E937" s="13"/>
      <c r="F937" s="13"/>
      <c r="G937" s="13"/>
      <c r="H937" s="13"/>
      <c r="I937" s="14"/>
      <c r="J937" s="13"/>
    </row>
    <row r="938" customFormat="false" ht="15" hidden="false" customHeight="false" outlineLevel="0" collapsed="false">
      <c r="A938" s="12" t="str">
        <f aca="false">IF(B938&lt;&gt;"","CS-"&amp;TEXT(935,"000"),"")</f>
        <v/>
      </c>
      <c r="B938" s="13"/>
      <c r="C938" s="13"/>
      <c r="D938" s="13"/>
      <c r="E938" s="13"/>
      <c r="F938" s="13"/>
      <c r="G938" s="13"/>
      <c r="H938" s="13"/>
      <c r="I938" s="14"/>
      <c r="J938" s="13"/>
    </row>
    <row r="939" customFormat="false" ht="15" hidden="false" customHeight="false" outlineLevel="0" collapsed="false">
      <c r="A939" s="12" t="str">
        <f aca="false">IF(B939&lt;&gt;"","CS-"&amp;TEXT(936,"000"),"")</f>
        <v/>
      </c>
      <c r="B939" s="13"/>
      <c r="C939" s="13"/>
      <c r="D939" s="13"/>
      <c r="E939" s="13"/>
      <c r="F939" s="13"/>
      <c r="G939" s="13"/>
      <c r="H939" s="13"/>
      <c r="I939" s="14"/>
      <c r="J939" s="13"/>
    </row>
    <row r="940" customFormat="false" ht="15" hidden="false" customHeight="false" outlineLevel="0" collapsed="false">
      <c r="A940" s="12" t="str">
        <f aca="false">IF(B940&lt;&gt;"","CS-"&amp;TEXT(937,"000"),"")</f>
        <v/>
      </c>
      <c r="B940" s="13"/>
      <c r="C940" s="13"/>
      <c r="D940" s="13"/>
      <c r="E940" s="13"/>
      <c r="F940" s="13"/>
      <c r="G940" s="13"/>
      <c r="H940" s="13"/>
      <c r="I940" s="14"/>
      <c r="J940" s="13"/>
    </row>
    <row r="941" customFormat="false" ht="15" hidden="false" customHeight="false" outlineLevel="0" collapsed="false">
      <c r="A941" s="12" t="str">
        <f aca="false">IF(B941&lt;&gt;"","CS-"&amp;TEXT(938,"000"),"")</f>
        <v/>
      </c>
      <c r="B941" s="13"/>
      <c r="C941" s="13"/>
      <c r="D941" s="13"/>
      <c r="E941" s="13"/>
      <c r="F941" s="13"/>
      <c r="G941" s="13"/>
      <c r="H941" s="13"/>
      <c r="I941" s="14"/>
      <c r="J941" s="13"/>
    </row>
    <row r="942" customFormat="false" ht="15" hidden="false" customHeight="false" outlineLevel="0" collapsed="false">
      <c r="A942" s="12" t="str">
        <f aca="false">IF(B942&lt;&gt;"","CS-"&amp;TEXT(939,"000"),"")</f>
        <v/>
      </c>
      <c r="B942" s="13"/>
      <c r="C942" s="13"/>
      <c r="D942" s="13"/>
      <c r="E942" s="13"/>
      <c r="F942" s="13"/>
      <c r="G942" s="13"/>
      <c r="H942" s="13"/>
      <c r="I942" s="14"/>
      <c r="J942" s="13"/>
    </row>
    <row r="943" customFormat="false" ht="15" hidden="false" customHeight="false" outlineLevel="0" collapsed="false">
      <c r="A943" s="12" t="str">
        <f aca="false">IF(B943&lt;&gt;"","CS-"&amp;TEXT(940,"000"),"")</f>
        <v/>
      </c>
      <c r="B943" s="13"/>
      <c r="C943" s="13"/>
      <c r="D943" s="13"/>
      <c r="E943" s="13"/>
      <c r="F943" s="13"/>
      <c r="G943" s="13"/>
      <c r="H943" s="13"/>
      <c r="I943" s="14"/>
      <c r="J943" s="13"/>
    </row>
    <row r="944" customFormat="false" ht="15" hidden="false" customHeight="false" outlineLevel="0" collapsed="false">
      <c r="A944" s="12" t="str">
        <f aca="false">IF(B944&lt;&gt;"","CS-"&amp;TEXT(941,"000"),"")</f>
        <v/>
      </c>
      <c r="B944" s="13"/>
      <c r="C944" s="13"/>
      <c r="D944" s="13"/>
      <c r="E944" s="13"/>
      <c r="F944" s="13"/>
      <c r="G944" s="13"/>
      <c r="H944" s="13"/>
      <c r="I944" s="14"/>
      <c r="J944" s="13"/>
    </row>
    <row r="945" customFormat="false" ht="15" hidden="false" customHeight="false" outlineLevel="0" collapsed="false">
      <c r="A945" s="12" t="str">
        <f aca="false">IF(B945&lt;&gt;"","CS-"&amp;TEXT(942,"000"),"")</f>
        <v/>
      </c>
      <c r="B945" s="13"/>
      <c r="C945" s="13"/>
      <c r="D945" s="13"/>
      <c r="E945" s="13"/>
      <c r="F945" s="13"/>
      <c r="G945" s="13"/>
      <c r="H945" s="13"/>
      <c r="I945" s="14"/>
      <c r="J945" s="13"/>
    </row>
    <row r="946" customFormat="false" ht="15" hidden="false" customHeight="false" outlineLevel="0" collapsed="false">
      <c r="A946" s="12" t="str">
        <f aca="false">IF(B946&lt;&gt;"","CS-"&amp;TEXT(943,"000"),"")</f>
        <v/>
      </c>
      <c r="B946" s="13"/>
      <c r="C946" s="13"/>
      <c r="D946" s="13"/>
      <c r="E946" s="13"/>
      <c r="F946" s="13"/>
      <c r="G946" s="13"/>
      <c r="H946" s="13"/>
      <c r="I946" s="14"/>
      <c r="J946" s="13"/>
    </row>
    <row r="947" customFormat="false" ht="15" hidden="false" customHeight="false" outlineLevel="0" collapsed="false">
      <c r="A947" s="12" t="str">
        <f aca="false">IF(B947&lt;&gt;"","CS-"&amp;TEXT(944,"000"),"")</f>
        <v/>
      </c>
      <c r="B947" s="13"/>
      <c r="C947" s="13"/>
      <c r="D947" s="13"/>
      <c r="E947" s="13"/>
      <c r="F947" s="13"/>
      <c r="G947" s="13"/>
      <c r="H947" s="13"/>
      <c r="I947" s="14"/>
      <c r="J947" s="13"/>
    </row>
    <row r="948" customFormat="false" ht="15" hidden="false" customHeight="false" outlineLevel="0" collapsed="false">
      <c r="A948" s="12" t="str">
        <f aca="false">IF(B948&lt;&gt;"","CS-"&amp;TEXT(945,"000"),"")</f>
        <v/>
      </c>
      <c r="B948" s="13"/>
      <c r="C948" s="13"/>
      <c r="D948" s="13"/>
      <c r="E948" s="13"/>
      <c r="F948" s="13"/>
      <c r="G948" s="13"/>
      <c r="H948" s="13"/>
      <c r="I948" s="14"/>
      <c r="J948" s="13"/>
    </row>
    <row r="949" customFormat="false" ht="15" hidden="false" customHeight="false" outlineLevel="0" collapsed="false">
      <c r="A949" s="12" t="str">
        <f aca="false">IF(B949&lt;&gt;"","CS-"&amp;TEXT(946,"000"),"")</f>
        <v/>
      </c>
      <c r="B949" s="13"/>
      <c r="C949" s="13"/>
      <c r="D949" s="13"/>
      <c r="E949" s="13"/>
      <c r="F949" s="13"/>
      <c r="G949" s="13"/>
      <c r="H949" s="13"/>
      <c r="I949" s="14"/>
      <c r="J949" s="13"/>
    </row>
    <row r="950" customFormat="false" ht="15" hidden="false" customHeight="false" outlineLevel="0" collapsed="false">
      <c r="A950" s="12" t="str">
        <f aca="false">IF(B950&lt;&gt;"","CS-"&amp;TEXT(947,"000"),"")</f>
        <v/>
      </c>
      <c r="B950" s="13"/>
      <c r="C950" s="13"/>
      <c r="D950" s="13"/>
      <c r="E950" s="13"/>
      <c r="F950" s="13"/>
      <c r="G950" s="13"/>
      <c r="H950" s="13"/>
      <c r="I950" s="14"/>
      <c r="J950" s="13"/>
    </row>
    <row r="951" customFormat="false" ht="15" hidden="false" customHeight="false" outlineLevel="0" collapsed="false">
      <c r="A951" s="12" t="str">
        <f aca="false">IF(B951&lt;&gt;"","CS-"&amp;TEXT(948,"000"),"")</f>
        <v/>
      </c>
      <c r="B951" s="13"/>
      <c r="C951" s="13"/>
      <c r="D951" s="13"/>
      <c r="E951" s="13"/>
      <c r="F951" s="13"/>
      <c r="G951" s="13"/>
      <c r="H951" s="13"/>
      <c r="I951" s="14"/>
      <c r="J951" s="13"/>
    </row>
    <row r="952" customFormat="false" ht="15" hidden="false" customHeight="false" outlineLevel="0" collapsed="false">
      <c r="A952" s="12" t="str">
        <f aca="false">IF(B952&lt;&gt;"","CS-"&amp;TEXT(949,"000"),"")</f>
        <v/>
      </c>
      <c r="B952" s="13"/>
      <c r="C952" s="13"/>
      <c r="D952" s="13"/>
      <c r="E952" s="13"/>
      <c r="F952" s="13"/>
      <c r="G952" s="13"/>
      <c r="H952" s="13"/>
      <c r="I952" s="14"/>
      <c r="J952" s="13"/>
    </row>
    <row r="953" customFormat="false" ht="15" hidden="false" customHeight="false" outlineLevel="0" collapsed="false">
      <c r="A953" s="12" t="str">
        <f aca="false">IF(B953&lt;&gt;"","CS-"&amp;TEXT(950,"000"),"")</f>
        <v/>
      </c>
      <c r="B953" s="13"/>
      <c r="C953" s="13"/>
      <c r="D953" s="13"/>
      <c r="E953" s="13"/>
      <c r="F953" s="13"/>
      <c r="G953" s="13"/>
      <c r="H953" s="13"/>
      <c r="I953" s="14"/>
      <c r="J953" s="13"/>
    </row>
    <row r="954" customFormat="false" ht="15" hidden="false" customHeight="false" outlineLevel="0" collapsed="false">
      <c r="A954" s="12" t="str">
        <f aca="false">IF(B954&lt;&gt;"","CS-"&amp;TEXT(951,"000"),"")</f>
        <v/>
      </c>
      <c r="B954" s="13"/>
      <c r="C954" s="13"/>
      <c r="D954" s="13"/>
      <c r="E954" s="13"/>
      <c r="F954" s="13"/>
      <c r="G954" s="13"/>
      <c r="H954" s="13"/>
      <c r="I954" s="14"/>
      <c r="J954" s="13"/>
    </row>
    <row r="955" customFormat="false" ht="15" hidden="false" customHeight="false" outlineLevel="0" collapsed="false">
      <c r="A955" s="12" t="str">
        <f aca="false">IF(B955&lt;&gt;"","CS-"&amp;TEXT(952,"000"),"")</f>
        <v/>
      </c>
      <c r="B955" s="13"/>
      <c r="C955" s="13"/>
      <c r="D955" s="13"/>
      <c r="E955" s="13"/>
      <c r="F955" s="13"/>
      <c r="G955" s="13"/>
      <c r="H955" s="13"/>
      <c r="I955" s="14"/>
      <c r="J955" s="13"/>
    </row>
    <row r="956" customFormat="false" ht="15" hidden="false" customHeight="false" outlineLevel="0" collapsed="false">
      <c r="A956" s="12" t="str">
        <f aca="false">IF(B956&lt;&gt;"","CS-"&amp;TEXT(953,"000"),"")</f>
        <v/>
      </c>
      <c r="B956" s="13"/>
      <c r="C956" s="13"/>
      <c r="D956" s="13"/>
      <c r="E956" s="13"/>
      <c r="F956" s="13"/>
      <c r="G956" s="13"/>
      <c r="H956" s="13"/>
      <c r="I956" s="14"/>
      <c r="J956" s="13"/>
    </row>
    <row r="957" customFormat="false" ht="15" hidden="false" customHeight="false" outlineLevel="0" collapsed="false">
      <c r="A957" s="12" t="str">
        <f aca="false">IF(B957&lt;&gt;"","CS-"&amp;TEXT(954,"000"),"")</f>
        <v/>
      </c>
      <c r="B957" s="13"/>
      <c r="C957" s="13"/>
      <c r="D957" s="13"/>
      <c r="E957" s="13"/>
      <c r="F957" s="13"/>
      <c r="G957" s="13"/>
      <c r="H957" s="13"/>
      <c r="I957" s="14"/>
      <c r="J957" s="13"/>
    </row>
    <row r="958" customFormat="false" ht="15" hidden="false" customHeight="false" outlineLevel="0" collapsed="false">
      <c r="A958" s="12" t="str">
        <f aca="false">IF(B958&lt;&gt;"","CS-"&amp;TEXT(955,"000"),"")</f>
        <v/>
      </c>
      <c r="B958" s="13"/>
      <c r="C958" s="13"/>
      <c r="D958" s="13"/>
      <c r="E958" s="13"/>
      <c r="F958" s="13"/>
      <c r="G958" s="13"/>
      <c r="H958" s="13"/>
      <c r="I958" s="14"/>
      <c r="J958" s="13"/>
    </row>
    <row r="959" customFormat="false" ht="15" hidden="false" customHeight="false" outlineLevel="0" collapsed="false">
      <c r="A959" s="12" t="str">
        <f aca="false">IF(B959&lt;&gt;"","CS-"&amp;TEXT(956,"000"),"")</f>
        <v/>
      </c>
      <c r="B959" s="13"/>
      <c r="C959" s="13"/>
      <c r="D959" s="13"/>
      <c r="E959" s="13"/>
      <c r="F959" s="13"/>
      <c r="G959" s="13"/>
      <c r="H959" s="13"/>
      <c r="I959" s="14"/>
      <c r="J959" s="13"/>
    </row>
    <row r="960" customFormat="false" ht="15" hidden="false" customHeight="false" outlineLevel="0" collapsed="false">
      <c r="A960" s="12" t="str">
        <f aca="false">IF(B960&lt;&gt;"","CS-"&amp;TEXT(957,"000"),"")</f>
        <v/>
      </c>
      <c r="B960" s="13"/>
      <c r="C960" s="13"/>
      <c r="D960" s="13"/>
      <c r="E960" s="13"/>
      <c r="F960" s="13"/>
      <c r="G960" s="13"/>
      <c r="H960" s="13"/>
      <c r="I960" s="14"/>
      <c r="J960" s="13"/>
    </row>
    <row r="961" customFormat="false" ht="15" hidden="false" customHeight="false" outlineLevel="0" collapsed="false">
      <c r="A961" s="12" t="str">
        <f aca="false">IF(B961&lt;&gt;"","CS-"&amp;TEXT(958,"000"),"")</f>
        <v/>
      </c>
      <c r="B961" s="13"/>
      <c r="C961" s="13"/>
      <c r="D961" s="13"/>
      <c r="E961" s="13"/>
      <c r="F961" s="13"/>
      <c r="G961" s="13"/>
      <c r="H961" s="13"/>
      <c r="I961" s="14"/>
      <c r="J961" s="13"/>
    </row>
    <row r="962" customFormat="false" ht="15" hidden="false" customHeight="false" outlineLevel="0" collapsed="false">
      <c r="A962" s="12" t="str">
        <f aca="false">IF(B962&lt;&gt;"","CS-"&amp;TEXT(959,"000"),"")</f>
        <v/>
      </c>
      <c r="B962" s="13"/>
      <c r="C962" s="13"/>
      <c r="D962" s="13"/>
      <c r="E962" s="13"/>
      <c r="F962" s="13"/>
      <c r="G962" s="13"/>
      <c r="H962" s="13"/>
      <c r="I962" s="14"/>
      <c r="J962" s="13"/>
    </row>
    <row r="963" customFormat="false" ht="15" hidden="false" customHeight="false" outlineLevel="0" collapsed="false">
      <c r="A963" s="12" t="str">
        <f aca="false">IF(B963&lt;&gt;"","CS-"&amp;TEXT(960,"000"),"")</f>
        <v/>
      </c>
      <c r="B963" s="13"/>
      <c r="C963" s="13"/>
      <c r="D963" s="13"/>
      <c r="E963" s="13"/>
      <c r="F963" s="13"/>
      <c r="G963" s="13"/>
      <c r="H963" s="13"/>
      <c r="I963" s="14"/>
      <c r="J963" s="13"/>
    </row>
    <row r="964" customFormat="false" ht="15" hidden="false" customHeight="false" outlineLevel="0" collapsed="false">
      <c r="A964" s="12" t="str">
        <f aca="false">IF(B964&lt;&gt;"","CS-"&amp;TEXT(961,"000"),"")</f>
        <v/>
      </c>
      <c r="B964" s="13"/>
      <c r="C964" s="13"/>
      <c r="D964" s="13"/>
      <c r="E964" s="13"/>
      <c r="F964" s="13"/>
      <c r="G964" s="13"/>
      <c r="H964" s="13"/>
      <c r="I964" s="14"/>
      <c r="J964" s="13"/>
    </row>
    <row r="965" customFormat="false" ht="15" hidden="false" customHeight="false" outlineLevel="0" collapsed="false">
      <c r="A965" s="12" t="str">
        <f aca="false">IF(B965&lt;&gt;"","CS-"&amp;TEXT(962,"000"),"")</f>
        <v/>
      </c>
      <c r="B965" s="13"/>
      <c r="C965" s="13"/>
      <c r="D965" s="13"/>
      <c r="E965" s="13"/>
      <c r="F965" s="13"/>
      <c r="G965" s="13"/>
      <c r="H965" s="13"/>
      <c r="I965" s="14"/>
      <c r="J965" s="13"/>
    </row>
    <row r="966" customFormat="false" ht="15" hidden="false" customHeight="false" outlineLevel="0" collapsed="false">
      <c r="A966" s="12" t="str">
        <f aca="false">IF(B966&lt;&gt;"","CS-"&amp;TEXT(963,"000"),"")</f>
        <v/>
      </c>
      <c r="B966" s="13"/>
      <c r="C966" s="13"/>
      <c r="D966" s="13"/>
      <c r="E966" s="13"/>
      <c r="F966" s="13"/>
      <c r="G966" s="13"/>
      <c r="H966" s="13"/>
      <c r="I966" s="14"/>
      <c r="J966" s="13"/>
    </row>
    <row r="967" customFormat="false" ht="15" hidden="false" customHeight="false" outlineLevel="0" collapsed="false">
      <c r="A967" s="12" t="str">
        <f aca="false">IF(B967&lt;&gt;"","CS-"&amp;TEXT(964,"000"),"")</f>
        <v/>
      </c>
      <c r="B967" s="13"/>
      <c r="C967" s="13"/>
      <c r="D967" s="13"/>
      <c r="E967" s="13"/>
      <c r="F967" s="13"/>
      <c r="G967" s="13"/>
      <c r="H967" s="13"/>
      <c r="I967" s="14"/>
      <c r="J967" s="13"/>
    </row>
    <row r="968" customFormat="false" ht="15" hidden="false" customHeight="false" outlineLevel="0" collapsed="false">
      <c r="A968" s="12" t="str">
        <f aca="false">IF(B968&lt;&gt;"","CS-"&amp;TEXT(965,"000"),"")</f>
        <v/>
      </c>
      <c r="B968" s="13"/>
      <c r="C968" s="13"/>
      <c r="D968" s="13"/>
      <c r="E968" s="13"/>
      <c r="F968" s="13"/>
      <c r="G968" s="13"/>
      <c r="H968" s="13"/>
      <c r="I968" s="14"/>
      <c r="J968" s="13"/>
    </row>
    <row r="969" customFormat="false" ht="15" hidden="false" customHeight="false" outlineLevel="0" collapsed="false">
      <c r="A969" s="12" t="str">
        <f aca="false">IF(B969&lt;&gt;"","CS-"&amp;TEXT(966,"000"),"")</f>
        <v/>
      </c>
      <c r="B969" s="13"/>
      <c r="C969" s="13"/>
      <c r="D969" s="13"/>
      <c r="E969" s="13"/>
      <c r="F969" s="13"/>
      <c r="G969" s="13"/>
      <c r="H969" s="13"/>
      <c r="I969" s="14"/>
      <c r="J969" s="13"/>
    </row>
    <row r="970" customFormat="false" ht="15" hidden="false" customHeight="false" outlineLevel="0" collapsed="false">
      <c r="A970" s="12" t="str">
        <f aca="false">IF(B970&lt;&gt;"","CS-"&amp;TEXT(967,"000"),"")</f>
        <v/>
      </c>
      <c r="B970" s="13"/>
      <c r="C970" s="13"/>
      <c r="D970" s="13"/>
      <c r="E970" s="13"/>
      <c r="F970" s="13"/>
      <c r="G970" s="13"/>
      <c r="H970" s="13"/>
      <c r="I970" s="14"/>
      <c r="J970" s="13"/>
    </row>
    <row r="971" customFormat="false" ht="15" hidden="false" customHeight="false" outlineLevel="0" collapsed="false">
      <c r="A971" s="12" t="str">
        <f aca="false">IF(B971&lt;&gt;"","CS-"&amp;TEXT(968,"000"),"")</f>
        <v/>
      </c>
      <c r="B971" s="13"/>
      <c r="C971" s="13"/>
      <c r="D971" s="13"/>
      <c r="E971" s="13"/>
      <c r="F971" s="13"/>
      <c r="G971" s="13"/>
      <c r="H971" s="13"/>
      <c r="I971" s="14"/>
      <c r="J971" s="13"/>
    </row>
    <row r="972" customFormat="false" ht="15" hidden="false" customHeight="false" outlineLevel="0" collapsed="false">
      <c r="A972" s="12" t="str">
        <f aca="false">IF(B972&lt;&gt;"","CS-"&amp;TEXT(969,"000"),"")</f>
        <v/>
      </c>
      <c r="B972" s="13"/>
      <c r="C972" s="13"/>
      <c r="D972" s="13"/>
      <c r="E972" s="13"/>
      <c r="F972" s="13"/>
      <c r="G972" s="13"/>
      <c r="H972" s="13"/>
      <c r="I972" s="14"/>
      <c r="J972" s="13"/>
    </row>
    <row r="973" customFormat="false" ht="15" hidden="false" customHeight="false" outlineLevel="0" collapsed="false">
      <c r="A973" s="12" t="str">
        <f aca="false">IF(B973&lt;&gt;"","CS-"&amp;TEXT(970,"000"),"")</f>
        <v/>
      </c>
      <c r="B973" s="13"/>
      <c r="C973" s="13"/>
      <c r="D973" s="13"/>
      <c r="E973" s="13"/>
      <c r="F973" s="13"/>
      <c r="G973" s="13"/>
      <c r="H973" s="13"/>
      <c r="I973" s="14"/>
      <c r="J973" s="13"/>
    </row>
    <row r="974" customFormat="false" ht="15" hidden="false" customHeight="false" outlineLevel="0" collapsed="false">
      <c r="A974" s="12" t="str">
        <f aca="false">IF(B974&lt;&gt;"","CS-"&amp;TEXT(971,"000"),"")</f>
        <v/>
      </c>
      <c r="B974" s="13"/>
      <c r="C974" s="13"/>
      <c r="D974" s="13"/>
      <c r="E974" s="13"/>
      <c r="F974" s="13"/>
      <c r="G974" s="13"/>
      <c r="H974" s="13"/>
      <c r="I974" s="14"/>
      <c r="J974" s="13"/>
    </row>
    <row r="975" customFormat="false" ht="15" hidden="false" customHeight="false" outlineLevel="0" collapsed="false">
      <c r="A975" s="12" t="str">
        <f aca="false">IF(B975&lt;&gt;"","CS-"&amp;TEXT(972,"000"),"")</f>
        <v/>
      </c>
      <c r="B975" s="13"/>
      <c r="C975" s="13"/>
      <c r="D975" s="13"/>
      <c r="E975" s="13"/>
      <c r="F975" s="13"/>
      <c r="G975" s="13"/>
      <c r="H975" s="13"/>
      <c r="I975" s="14"/>
      <c r="J975" s="13"/>
    </row>
    <row r="976" customFormat="false" ht="15" hidden="false" customHeight="false" outlineLevel="0" collapsed="false">
      <c r="A976" s="12" t="str">
        <f aca="false">IF(B976&lt;&gt;"","CS-"&amp;TEXT(973,"000"),"")</f>
        <v/>
      </c>
      <c r="B976" s="13"/>
      <c r="C976" s="13"/>
      <c r="D976" s="13"/>
      <c r="E976" s="13"/>
      <c r="F976" s="13"/>
      <c r="G976" s="13"/>
      <c r="H976" s="13"/>
      <c r="I976" s="14"/>
      <c r="J976" s="13"/>
    </row>
    <row r="977" customFormat="false" ht="15" hidden="false" customHeight="false" outlineLevel="0" collapsed="false">
      <c r="A977" s="12" t="str">
        <f aca="false">IF(B977&lt;&gt;"","CS-"&amp;TEXT(974,"000"),"")</f>
        <v/>
      </c>
      <c r="B977" s="13"/>
      <c r="C977" s="13"/>
      <c r="D977" s="13"/>
      <c r="E977" s="13"/>
      <c r="F977" s="13"/>
      <c r="G977" s="13"/>
      <c r="H977" s="13"/>
      <c r="I977" s="14"/>
      <c r="J977" s="13"/>
    </row>
    <row r="978" customFormat="false" ht="15" hidden="false" customHeight="false" outlineLevel="0" collapsed="false">
      <c r="A978" s="12" t="str">
        <f aca="false">IF(B978&lt;&gt;"","CS-"&amp;TEXT(975,"000"),"")</f>
        <v/>
      </c>
      <c r="B978" s="13"/>
      <c r="C978" s="13"/>
      <c r="D978" s="13"/>
      <c r="E978" s="13"/>
      <c r="F978" s="13"/>
      <c r="G978" s="13"/>
      <c r="H978" s="13"/>
      <c r="I978" s="14"/>
      <c r="J978" s="13"/>
    </row>
    <row r="979" customFormat="false" ht="15" hidden="false" customHeight="false" outlineLevel="0" collapsed="false">
      <c r="A979" s="12" t="str">
        <f aca="false">IF(B979&lt;&gt;"","CS-"&amp;TEXT(976,"000"),"")</f>
        <v/>
      </c>
      <c r="B979" s="13"/>
      <c r="C979" s="13"/>
      <c r="D979" s="13"/>
      <c r="E979" s="13"/>
      <c r="F979" s="13"/>
      <c r="G979" s="13"/>
      <c r="H979" s="13"/>
      <c r="I979" s="14"/>
      <c r="J979" s="13"/>
    </row>
    <row r="980" customFormat="false" ht="15" hidden="false" customHeight="false" outlineLevel="0" collapsed="false">
      <c r="A980" s="12" t="str">
        <f aca="false">IF(B980&lt;&gt;"","CS-"&amp;TEXT(977,"000"),"")</f>
        <v/>
      </c>
      <c r="B980" s="13"/>
      <c r="C980" s="13"/>
      <c r="D980" s="13"/>
      <c r="E980" s="13"/>
      <c r="F980" s="13"/>
      <c r="G980" s="13"/>
      <c r="H980" s="13"/>
      <c r="I980" s="14"/>
      <c r="J980" s="13"/>
    </row>
    <row r="981" customFormat="false" ht="15" hidden="false" customHeight="false" outlineLevel="0" collapsed="false">
      <c r="A981" s="12" t="str">
        <f aca="false">IF(B981&lt;&gt;"","CS-"&amp;TEXT(978,"000"),"")</f>
        <v/>
      </c>
      <c r="B981" s="13"/>
      <c r="C981" s="13"/>
      <c r="D981" s="13"/>
      <c r="E981" s="13"/>
      <c r="F981" s="13"/>
      <c r="G981" s="13"/>
      <c r="H981" s="13"/>
      <c r="I981" s="14"/>
      <c r="J981" s="13"/>
    </row>
    <row r="982" customFormat="false" ht="15" hidden="false" customHeight="false" outlineLevel="0" collapsed="false">
      <c r="A982" s="12" t="str">
        <f aca="false">IF(B982&lt;&gt;"","CS-"&amp;TEXT(979,"000"),"")</f>
        <v/>
      </c>
      <c r="B982" s="13"/>
      <c r="C982" s="13"/>
      <c r="D982" s="13"/>
      <c r="E982" s="13"/>
      <c r="F982" s="13"/>
      <c r="G982" s="13"/>
      <c r="H982" s="13"/>
      <c r="I982" s="14"/>
      <c r="J982" s="13"/>
    </row>
    <row r="983" customFormat="false" ht="15" hidden="false" customHeight="false" outlineLevel="0" collapsed="false">
      <c r="A983" s="12" t="str">
        <f aca="false">IF(B983&lt;&gt;"","CS-"&amp;TEXT(980,"000"),"")</f>
        <v/>
      </c>
      <c r="B983" s="13"/>
      <c r="C983" s="13"/>
      <c r="D983" s="13"/>
      <c r="E983" s="13"/>
      <c r="F983" s="13"/>
      <c r="G983" s="13"/>
      <c r="H983" s="13"/>
      <c r="I983" s="14"/>
      <c r="J983" s="13"/>
    </row>
    <row r="984" customFormat="false" ht="15" hidden="false" customHeight="false" outlineLevel="0" collapsed="false">
      <c r="A984" s="12" t="str">
        <f aca="false">IF(B984&lt;&gt;"","CS-"&amp;TEXT(981,"000"),"")</f>
        <v/>
      </c>
      <c r="B984" s="13"/>
      <c r="C984" s="13"/>
      <c r="D984" s="13"/>
      <c r="E984" s="13"/>
      <c r="F984" s="13"/>
      <c r="G984" s="13"/>
      <c r="H984" s="13"/>
      <c r="I984" s="14"/>
      <c r="J984" s="13"/>
    </row>
    <row r="985" customFormat="false" ht="15" hidden="false" customHeight="false" outlineLevel="0" collapsed="false">
      <c r="A985" s="12" t="str">
        <f aca="false">IF(B985&lt;&gt;"","CS-"&amp;TEXT(982,"000"),"")</f>
        <v/>
      </c>
      <c r="B985" s="13"/>
      <c r="C985" s="13"/>
      <c r="D985" s="13"/>
      <c r="E985" s="13"/>
      <c r="F985" s="13"/>
      <c r="G985" s="13"/>
      <c r="H985" s="13"/>
      <c r="I985" s="14"/>
      <c r="J985" s="13"/>
    </row>
    <row r="986" customFormat="false" ht="15" hidden="false" customHeight="false" outlineLevel="0" collapsed="false">
      <c r="A986" s="12" t="str">
        <f aca="false">IF(B986&lt;&gt;"","CS-"&amp;TEXT(983,"000"),"")</f>
        <v/>
      </c>
      <c r="B986" s="13"/>
      <c r="C986" s="13"/>
      <c r="D986" s="13"/>
      <c r="E986" s="13"/>
      <c r="F986" s="13"/>
      <c r="G986" s="13"/>
      <c r="H986" s="13"/>
      <c r="I986" s="14"/>
      <c r="J986" s="13"/>
    </row>
    <row r="987" customFormat="false" ht="15" hidden="false" customHeight="false" outlineLevel="0" collapsed="false">
      <c r="A987" s="12" t="str">
        <f aca="false">IF(B987&lt;&gt;"","CS-"&amp;TEXT(984,"000"),"")</f>
        <v/>
      </c>
      <c r="B987" s="13"/>
      <c r="C987" s="13"/>
      <c r="D987" s="13"/>
      <c r="E987" s="13"/>
      <c r="F987" s="13"/>
      <c r="G987" s="13"/>
      <c r="H987" s="13"/>
      <c r="I987" s="14"/>
      <c r="J987" s="13"/>
    </row>
    <row r="988" customFormat="false" ht="15" hidden="false" customHeight="false" outlineLevel="0" collapsed="false">
      <c r="A988" s="12" t="str">
        <f aca="false">IF(B988&lt;&gt;"","CS-"&amp;TEXT(985,"000"),"")</f>
        <v/>
      </c>
      <c r="B988" s="13"/>
      <c r="C988" s="13"/>
      <c r="D988" s="13"/>
      <c r="E988" s="13"/>
      <c r="F988" s="13"/>
      <c r="G988" s="13"/>
      <c r="H988" s="13"/>
      <c r="I988" s="14"/>
      <c r="J988" s="13"/>
    </row>
    <row r="989" customFormat="false" ht="15" hidden="false" customHeight="false" outlineLevel="0" collapsed="false">
      <c r="A989" s="12" t="str">
        <f aca="false">IF(B989&lt;&gt;"","CS-"&amp;TEXT(986,"000"),"")</f>
        <v/>
      </c>
      <c r="B989" s="13"/>
      <c r="C989" s="13"/>
      <c r="D989" s="13"/>
      <c r="E989" s="13"/>
      <c r="F989" s="13"/>
      <c r="G989" s="13"/>
      <c r="H989" s="13"/>
      <c r="I989" s="14"/>
      <c r="J989" s="13"/>
    </row>
    <row r="990" customFormat="false" ht="15" hidden="false" customHeight="false" outlineLevel="0" collapsed="false">
      <c r="A990" s="12" t="str">
        <f aca="false">IF(B990&lt;&gt;"","CS-"&amp;TEXT(987,"000"),"")</f>
        <v/>
      </c>
      <c r="B990" s="13"/>
      <c r="C990" s="13"/>
      <c r="D990" s="13"/>
      <c r="E990" s="13"/>
      <c r="F990" s="13"/>
      <c r="G990" s="13"/>
      <c r="H990" s="13"/>
      <c r="I990" s="14"/>
      <c r="J990" s="13"/>
    </row>
    <row r="991" customFormat="false" ht="15" hidden="false" customHeight="false" outlineLevel="0" collapsed="false">
      <c r="A991" s="12" t="str">
        <f aca="false">IF(B991&lt;&gt;"","CS-"&amp;TEXT(988,"000"),"")</f>
        <v/>
      </c>
      <c r="B991" s="13"/>
      <c r="C991" s="13"/>
      <c r="D991" s="13"/>
      <c r="E991" s="13"/>
      <c r="F991" s="13"/>
      <c r="G991" s="13"/>
      <c r="H991" s="13"/>
      <c r="I991" s="14"/>
      <c r="J991" s="13"/>
    </row>
    <row r="992" customFormat="false" ht="15" hidden="false" customHeight="false" outlineLevel="0" collapsed="false">
      <c r="A992" s="12" t="str">
        <f aca="false">IF(B992&lt;&gt;"","CS-"&amp;TEXT(989,"000"),"")</f>
        <v/>
      </c>
      <c r="B992" s="13"/>
      <c r="C992" s="13"/>
      <c r="D992" s="13"/>
      <c r="E992" s="13"/>
      <c r="F992" s="13"/>
      <c r="G992" s="13"/>
      <c r="H992" s="13"/>
      <c r="I992" s="14"/>
      <c r="J992" s="13"/>
    </row>
    <row r="993" customFormat="false" ht="15" hidden="false" customHeight="false" outlineLevel="0" collapsed="false">
      <c r="A993" s="12" t="str">
        <f aca="false">IF(B993&lt;&gt;"","CS-"&amp;TEXT(990,"000"),"")</f>
        <v/>
      </c>
      <c r="B993" s="13"/>
      <c r="C993" s="13"/>
      <c r="D993" s="13"/>
      <c r="E993" s="13"/>
      <c r="F993" s="13"/>
      <c r="G993" s="13"/>
      <c r="H993" s="13"/>
      <c r="I993" s="14"/>
      <c r="J993" s="13"/>
    </row>
    <row r="994" customFormat="false" ht="15" hidden="false" customHeight="false" outlineLevel="0" collapsed="false">
      <c r="A994" s="12" t="str">
        <f aca="false">IF(B994&lt;&gt;"","CS-"&amp;TEXT(991,"000"),"")</f>
        <v/>
      </c>
      <c r="B994" s="13"/>
      <c r="C994" s="13"/>
      <c r="D994" s="13"/>
      <c r="E994" s="13"/>
      <c r="F994" s="13"/>
      <c r="G994" s="13"/>
      <c r="H994" s="13"/>
      <c r="I994" s="14"/>
      <c r="J994" s="13"/>
    </row>
    <row r="995" customFormat="false" ht="15" hidden="false" customHeight="false" outlineLevel="0" collapsed="false">
      <c r="A995" s="12" t="str">
        <f aca="false">IF(B995&lt;&gt;"","CS-"&amp;TEXT(992,"000"),"")</f>
        <v/>
      </c>
      <c r="B995" s="13"/>
      <c r="C995" s="13"/>
      <c r="D995" s="13"/>
      <c r="E995" s="13"/>
      <c r="F995" s="13"/>
      <c r="G995" s="13"/>
      <c r="H995" s="13"/>
      <c r="I995" s="14"/>
      <c r="J995" s="13"/>
    </row>
    <row r="996" customFormat="false" ht="15" hidden="false" customHeight="false" outlineLevel="0" collapsed="false">
      <c r="A996" s="12" t="str">
        <f aca="false">IF(B996&lt;&gt;"","CS-"&amp;TEXT(993,"000"),"")</f>
        <v/>
      </c>
      <c r="B996" s="13"/>
      <c r="C996" s="13"/>
      <c r="D996" s="13"/>
      <c r="E996" s="13"/>
      <c r="F996" s="13"/>
      <c r="G996" s="13"/>
      <c r="H996" s="13"/>
      <c r="I996" s="14"/>
      <c r="J996" s="13"/>
    </row>
    <row r="997" customFormat="false" ht="15" hidden="false" customHeight="false" outlineLevel="0" collapsed="false">
      <c r="A997" s="12" t="str">
        <f aca="false">IF(B997&lt;&gt;"","CS-"&amp;TEXT(994,"000"),"")</f>
        <v/>
      </c>
      <c r="B997" s="13"/>
      <c r="C997" s="13"/>
      <c r="D997" s="13"/>
      <c r="E997" s="13"/>
      <c r="F997" s="13"/>
      <c r="G997" s="13"/>
      <c r="H997" s="13"/>
      <c r="I997" s="14"/>
      <c r="J997" s="13"/>
    </row>
    <row r="998" customFormat="false" ht="15" hidden="false" customHeight="false" outlineLevel="0" collapsed="false">
      <c r="A998" s="12" t="str">
        <f aca="false">IF(B998&lt;&gt;"","CS-"&amp;TEXT(995,"000"),"")</f>
        <v/>
      </c>
      <c r="B998" s="13"/>
      <c r="C998" s="13"/>
      <c r="D998" s="13"/>
      <c r="E998" s="13"/>
      <c r="F998" s="13"/>
      <c r="G998" s="13"/>
      <c r="H998" s="13"/>
      <c r="I998" s="14"/>
      <c r="J998" s="13"/>
    </row>
    <row r="999" customFormat="false" ht="15" hidden="false" customHeight="false" outlineLevel="0" collapsed="false">
      <c r="A999" s="12" t="str">
        <f aca="false">IF(B999&lt;&gt;"","CS-"&amp;TEXT(996,"000"),"")</f>
        <v/>
      </c>
      <c r="B999" s="13"/>
      <c r="C999" s="13"/>
      <c r="D999" s="13"/>
      <c r="E999" s="13"/>
      <c r="F999" s="13"/>
      <c r="G999" s="13"/>
      <c r="H999" s="13"/>
      <c r="I999" s="14"/>
      <c r="J999" s="13"/>
    </row>
    <row r="1000" customFormat="false" ht="15" hidden="false" customHeight="false" outlineLevel="0" collapsed="false">
      <c r="A1000" s="12" t="str">
        <f aca="false">IF(B1000&lt;&gt;"","CS-"&amp;TEXT(997,"000"),"")</f>
        <v/>
      </c>
      <c r="B1000" s="13"/>
      <c r="C1000" s="13"/>
      <c r="D1000" s="13"/>
      <c r="E1000" s="13"/>
      <c r="F1000" s="13"/>
      <c r="G1000" s="13"/>
      <c r="H1000" s="13"/>
      <c r="I1000" s="14"/>
      <c r="J1000" s="13"/>
    </row>
    <row r="1001" customFormat="false" ht="15" hidden="false" customHeight="false" outlineLevel="0" collapsed="false">
      <c r="A1001" s="12" t="str">
        <f aca="false">IF(B1001&lt;&gt;"","CS-"&amp;TEXT(998,"000"),"")</f>
        <v/>
      </c>
      <c r="B1001" s="13"/>
      <c r="C1001" s="13"/>
      <c r="D1001" s="13"/>
      <c r="E1001" s="13"/>
      <c r="F1001" s="13"/>
      <c r="G1001" s="13"/>
      <c r="H1001" s="13"/>
      <c r="I1001" s="14"/>
      <c r="J1001" s="13"/>
    </row>
    <row r="1002" customFormat="false" ht="15" hidden="false" customHeight="false" outlineLevel="0" collapsed="false">
      <c r="A1002" s="12" t="str">
        <f aca="false">IF(B1002&lt;&gt;"","CS-"&amp;TEXT(999,"000"),"")</f>
        <v/>
      </c>
      <c r="B1002" s="13"/>
      <c r="C1002" s="13"/>
      <c r="D1002" s="13"/>
      <c r="E1002" s="13"/>
      <c r="F1002" s="13"/>
      <c r="G1002" s="13"/>
      <c r="H1002" s="13"/>
      <c r="I1002" s="14"/>
      <c r="J1002" s="13"/>
    </row>
    <row r="1003" customFormat="false" ht="15" hidden="false" customHeight="false" outlineLevel="0" collapsed="false">
      <c r="A1003" s="12" t="str">
        <f aca="false">IF(B1003&lt;&gt;"","CS-"&amp;TEXT(1000,"000"),"")</f>
        <v/>
      </c>
      <c r="B1003" s="13"/>
      <c r="C1003" s="13"/>
      <c r="D1003" s="13"/>
      <c r="E1003" s="13"/>
      <c r="F1003" s="13"/>
      <c r="G1003" s="13"/>
      <c r="H1003" s="13"/>
      <c r="I1003" s="14"/>
      <c r="J1003" s="13"/>
    </row>
  </sheetData>
  <mergeCells count="3">
    <mergeCell ref="A1:E1"/>
    <mergeCell ref="F1:G1"/>
    <mergeCell ref="A2:J2"/>
  </mergeCells>
  <conditionalFormatting sqref="G4:G1003">
    <cfRule type="cellIs" priority="2" operator="equal" aboveAverage="0" equalAverage="0" bottom="0" percent="0" rank="0" text="" dxfId="0">
      <formula>"In storage"</formula>
    </cfRule>
    <cfRule type="cellIs" priority="3" operator="equal" aboveAverage="0" equalAverage="0" bottom="0" percent="0" rank="0" text="" dxfId="1">
      <formula>"Out with coach"</formula>
    </cfRule>
    <cfRule type="cellIs" priority="4" operator="equal" aboveAverage="0" equalAverage="0" bottom="0" percent="0" rank="0" text="" dxfId="2">
      <formula>"Lost"</formula>
    </cfRule>
  </conditionalFormatting>
  <conditionalFormatting sqref="F4:F1003">
    <cfRule type="cellIs" priority="5" operator="equal" aboveAverage="0" equalAverage="0" bottom="0" percent="0" rank="0" text="" dxfId="2">
      <formula>"1 - Needs replacing"</formula>
    </cfRule>
    <cfRule type="cellIs" priority="6" operator="equal" aboveAverage="0" equalAverage="0" bottom="0" percent="0" rank="0" text="" dxfId="1">
      <formula>"2 - Damaged"</formula>
    </cfRule>
  </conditionalFormatting>
  <dataValidations count="4">
    <dataValidation allowBlank="true" errorStyle="stop" operator="between" showDropDown="false" showErrorMessage="false" showInputMessage="false" sqref="C4:C1003" type="list">
      <formula1>Categories</formula1>
      <formula2>0</formula2>
    </dataValidation>
    <dataValidation allowBlank="true" errorStyle="stop" operator="between" showDropDown="false" showErrorMessage="false" showInputMessage="false" sqref="D4:D1003" type="list">
      <formula1>Teams</formula1>
      <formula2>0</formula2>
    </dataValidation>
    <dataValidation allowBlank="true" errorStyle="stop" operator="between" showDropDown="false" showErrorMessage="false" showInputMessage="false" sqref="F4:F1003" type="list">
      <formula1>Conditions</formula1>
      <formula2>0</formula2>
    </dataValidation>
    <dataValidation allowBlank="true" errorStyle="stop" operator="between" showDropDown="false" showErrorMessage="false" showInputMessage="false" sqref="G4:G1003" type="list">
      <formula1>Statuses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"/>
    <col collapsed="false" customWidth="true" hidden="false" outlineLevel="0" max="3" min="3" style="0" width="28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15"/>
    <col collapsed="false" customWidth="true" hidden="false" outlineLevel="0" max="8" min="7" style="0" width="13"/>
    <col collapsed="false" customWidth="true" hidden="false" outlineLevel="0" max="9" min="9" style="0" width="30"/>
  </cols>
  <sheetData>
    <row r="1" customFormat="false" ht="22.05" hidden="false" customHeight="false" outlineLevel="0" collapsed="false">
      <c r="A1" s="7" t="s">
        <v>57</v>
      </c>
      <c r="B1" s="7"/>
      <c r="C1" s="7"/>
      <c r="D1" s="7"/>
      <c r="E1" s="8" t="s">
        <v>58</v>
      </c>
      <c r="F1" s="8"/>
      <c r="G1" s="9" t="n">
        <f aca="false">COUNTIFS(A4:A1000,"&lt;&gt;",G4:G1000,"")</f>
        <v>1</v>
      </c>
    </row>
    <row r="2" customFormat="false" ht="19.5" hidden="false" customHeight="true" outlineLevel="0" collapsed="false">
      <c r="A2" s="10" t="s">
        <v>59</v>
      </c>
      <c r="B2" s="10"/>
      <c r="C2" s="10"/>
      <c r="D2" s="10"/>
      <c r="E2" s="10"/>
      <c r="F2" s="10"/>
      <c r="G2" s="10"/>
      <c r="H2" s="10"/>
      <c r="I2" s="10"/>
    </row>
    <row r="3" customFormat="false" ht="25.5" hidden="false" customHeight="true" outlineLevel="0" collapsed="false">
      <c r="A3" s="11" t="s">
        <v>60</v>
      </c>
      <c r="B3" s="11" t="s">
        <v>25</v>
      </c>
      <c r="C3" s="11" t="s">
        <v>61</v>
      </c>
      <c r="D3" s="11" t="s">
        <v>62</v>
      </c>
      <c r="E3" s="11" t="s">
        <v>28</v>
      </c>
      <c r="F3" s="11" t="s">
        <v>63</v>
      </c>
      <c r="G3" s="11" t="s">
        <v>64</v>
      </c>
      <c r="H3" s="11" t="s">
        <v>65</v>
      </c>
      <c r="I3" s="11" t="s">
        <v>34</v>
      </c>
    </row>
    <row r="4" customFormat="false" ht="15" hidden="false" customHeight="false" outlineLevel="0" collapsed="false">
      <c r="A4" s="15" t="n">
        <f aca="true">TODAY()-7</f>
        <v>46158</v>
      </c>
      <c r="B4" s="16" t="s">
        <v>66</v>
      </c>
      <c r="C4" s="13" t="str">
        <f aca="false">IFERROR(IF(B4="","",VLOOKUP(B4,Inventory!A:B,2,FALSE())),"")</f>
        <v>Cones (20)</v>
      </c>
      <c r="D4" s="16" t="s">
        <v>67</v>
      </c>
      <c r="E4" s="16" t="s">
        <v>49</v>
      </c>
      <c r="F4" s="15" t="n">
        <f aca="true">TODAY()-2</f>
        <v>46163</v>
      </c>
      <c r="G4" s="15"/>
      <c r="H4" s="17" t="n">
        <f aca="true">IF(AND(A4&lt;&gt;"",G4="",F4&lt;&gt;"",F4&lt;TODAY()),TODAY()-F4,"")</f>
        <v>2</v>
      </c>
      <c r="I4" s="16" t="s">
        <v>68</v>
      </c>
    </row>
    <row r="5" customFormat="false" ht="15" hidden="false" customHeight="false" outlineLevel="0" collapsed="false">
      <c r="A5" s="15" t="n">
        <f aca="true">TODAY()-14</f>
        <v>46151</v>
      </c>
      <c r="B5" s="16" t="s">
        <v>69</v>
      </c>
      <c r="C5" s="13" t="str">
        <f aca="false">IFERROR(IF(B5="","",VLOOKUP(B5,Inventory!A:B,2,FALSE())),"")</f>
        <v>Bibs set orange</v>
      </c>
      <c r="D5" s="16" t="s">
        <v>70</v>
      </c>
      <c r="E5" s="16" t="s">
        <v>37</v>
      </c>
      <c r="F5" s="15" t="n">
        <f aca="true">TODAY()-10</f>
        <v>46155</v>
      </c>
      <c r="G5" s="15" t="n">
        <f aca="true">TODAY()-12</f>
        <v>46153</v>
      </c>
      <c r="H5" s="17" t="str">
        <f aca="true">IF(AND(A5&lt;&gt;"",G5="",F5&lt;&gt;"",F5&lt;TODAY()),TODAY()-F5,"")</f>
        <v/>
      </c>
      <c r="I5" s="16" t="s">
        <v>71</v>
      </c>
    </row>
    <row r="6" customFormat="false" ht="15" hidden="false" customHeight="false" outlineLevel="0" collapsed="false">
      <c r="A6" s="15"/>
      <c r="B6" s="16"/>
      <c r="C6" s="13" t="str">
        <f aca="false">IFERROR(IF(B6="","",VLOOKUP(B6,Inventory!A:B,2,FALSE())),"")</f>
        <v/>
      </c>
      <c r="D6" s="16"/>
      <c r="E6" s="16"/>
      <c r="F6" s="15"/>
      <c r="G6" s="15"/>
      <c r="H6" s="17" t="str">
        <f aca="true">IF(AND(A6&lt;&gt;"",G6="",F6&lt;&gt;"",F6&lt;TODAY()),TODAY()-F6,"")</f>
        <v/>
      </c>
      <c r="I6" s="16"/>
    </row>
    <row r="7" customFormat="false" ht="15" hidden="false" customHeight="false" outlineLevel="0" collapsed="false">
      <c r="A7" s="15"/>
      <c r="B7" s="16"/>
      <c r="C7" s="13" t="str">
        <f aca="false">IFERROR(IF(B7="","",VLOOKUP(B7,Inventory!A:B,2,FALSE())),"")</f>
        <v/>
      </c>
      <c r="D7" s="16"/>
      <c r="E7" s="16"/>
      <c r="F7" s="15"/>
      <c r="G7" s="15"/>
      <c r="H7" s="17" t="str">
        <f aca="true">IF(AND(A7&lt;&gt;"",G7="",F7&lt;&gt;"",F7&lt;TODAY()),TODAY()-F7,"")</f>
        <v/>
      </c>
      <c r="I7" s="16"/>
    </row>
    <row r="8" customFormat="false" ht="15" hidden="false" customHeight="false" outlineLevel="0" collapsed="false">
      <c r="A8" s="15"/>
      <c r="B8" s="16"/>
      <c r="C8" s="13" t="str">
        <f aca="false">IFERROR(IF(B8="","",VLOOKUP(B8,Inventory!A:B,2,FALSE())),"")</f>
        <v/>
      </c>
      <c r="D8" s="16"/>
      <c r="E8" s="16"/>
      <c r="F8" s="15"/>
      <c r="G8" s="15"/>
      <c r="H8" s="17" t="str">
        <f aca="true">IF(AND(A8&lt;&gt;"",G8="",F8&lt;&gt;"",F8&lt;TODAY()),TODAY()-F8,"")</f>
        <v/>
      </c>
      <c r="I8" s="16"/>
    </row>
    <row r="9" customFormat="false" ht="15" hidden="false" customHeight="false" outlineLevel="0" collapsed="false">
      <c r="A9" s="15"/>
      <c r="B9" s="16"/>
      <c r="C9" s="13" t="str">
        <f aca="false">IFERROR(IF(B9="","",VLOOKUP(B9,Inventory!A:B,2,FALSE())),"")</f>
        <v/>
      </c>
      <c r="D9" s="16"/>
      <c r="E9" s="16"/>
      <c r="F9" s="15"/>
      <c r="G9" s="15"/>
      <c r="H9" s="17" t="str">
        <f aca="true">IF(AND(A9&lt;&gt;"",G9="",F9&lt;&gt;"",F9&lt;TODAY()),TODAY()-F9,"")</f>
        <v/>
      </c>
      <c r="I9" s="16"/>
    </row>
    <row r="10" customFormat="false" ht="15" hidden="false" customHeight="false" outlineLevel="0" collapsed="false">
      <c r="A10" s="15"/>
      <c r="B10" s="16"/>
      <c r="C10" s="13" t="str">
        <f aca="false">IFERROR(IF(B10="","",VLOOKUP(B10,Inventory!A:B,2,FALSE())),"")</f>
        <v/>
      </c>
      <c r="D10" s="16"/>
      <c r="E10" s="16"/>
      <c r="F10" s="15"/>
      <c r="G10" s="15"/>
      <c r="H10" s="17" t="str">
        <f aca="true">IF(AND(A10&lt;&gt;"",G10="",F10&lt;&gt;"",F10&lt;TODAY()),TODAY()-F10,"")</f>
        <v/>
      </c>
      <c r="I10" s="16"/>
    </row>
    <row r="11" customFormat="false" ht="15" hidden="false" customHeight="false" outlineLevel="0" collapsed="false">
      <c r="A11" s="15"/>
      <c r="B11" s="16"/>
      <c r="C11" s="13" t="str">
        <f aca="false">IFERROR(IF(B11="","",VLOOKUP(B11,Inventory!A:B,2,FALSE())),"")</f>
        <v/>
      </c>
      <c r="D11" s="16"/>
      <c r="E11" s="16"/>
      <c r="F11" s="15"/>
      <c r="G11" s="15"/>
      <c r="H11" s="17" t="str">
        <f aca="true">IF(AND(A11&lt;&gt;"",G11="",F11&lt;&gt;"",F11&lt;TODAY()),TODAY()-F11,"")</f>
        <v/>
      </c>
      <c r="I11" s="16"/>
    </row>
    <row r="12" customFormat="false" ht="15" hidden="false" customHeight="false" outlineLevel="0" collapsed="false">
      <c r="A12" s="15"/>
      <c r="B12" s="16"/>
      <c r="C12" s="13" t="str">
        <f aca="false">IFERROR(IF(B12="","",VLOOKUP(B12,Inventory!A:B,2,FALSE())),"")</f>
        <v/>
      </c>
      <c r="D12" s="16"/>
      <c r="E12" s="16"/>
      <c r="F12" s="15"/>
      <c r="G12" s="15"/>
      <c r="H12" s="17" t="str">
        <f aca="true">IF(AND(A12&lt;&gt;"",G12="",F12&lt;&gt;"",F12&lt;TODAY()),TODAY()-F12,"")</f>
        <v/>
      </c>
      <c r="I12" s="16"/>
    </row>
    <row r="13" customFormat="false" ht="15" hidden="false" customHeight="false" outlineLevel="0" collapsed="false">
      <c r="A13" s="15"/>
      <c r="B13" s="16"/>
      <c r="C13" s="13" t="str">
        <f aca="false">IFERROR(IF(B13="","",VLOOKUP(B13,Inventory!A:B,2,FALSE())),"")</f>
        <v/>
      </c>
      <c r="D13" s="16"/>
      <c r="E13" s="16"/>
      <c r="F13" s="15"/>
      <c r="G13" s="15"/>
      <c r="H13" s="17" t="str">
        <f aca="true">IF(AND(A13&lt;&gt;"",G13="",F13&lt;&gt;"",F13&lt;TODAY()),TODAY()-F13,"")</f>
        <v/>
      </c>
      <c r="I13" s="16"/>
    </row>
    <row r="14" customFormat="false" ht="15" hidden="false" customHeight="false" outlineLevel="0" collapsed="false">
      <c r="A14" s="15"/>
      <c r="B14" s="16"/>
      <c r="C14" s="13" t="str">
        <f aca="false">IFERROR(IF(B14="","",VLOOKUP(B14,Inventory!A:B,2,FALSE())),"")</f>
        <v/>
      </c>
      <c r="D14" s="16"/>
      <c r="E14" s="16"/>
      <c r="F14" s="15"/>
      <c r="G14" s="15"/>
      <c r="H14" s="17" t="str">
        <f aca="true">IF(AND(A14&lt;&gt;"",G14="",F14&lt;&gt;"",F14&lt;TODAY()),TODAY()-F14,"")</f>
        <v/>
      </c>
      <c r="I14" s="16"/>
    </row>
    <row r="15" customFormat="false" ht="15" hidden="false" customHeight="false" outlineLevel="0" collapsed="false">
      <c r="A15" s="15"/>
      <c r="B15" s="16"/>
      <c r="C15" s="13" t="str">
        <f aca="false">IFERROR(IF(B15="","",VLOOKUP(B15,Inventory!A:B,2,FALSE())),"")</f>
        <v/>
      </c>
      <c r="D15" s="16"/>
      <c r="E15" s="16"/>
      <c r="F15" s="15"/>
      <c r="G15" s="15"/>
      <c r="H15" s="17" t="str">
        <f aca="true">IF(AND(A15&lt;&gt;"",G15="",F15&lt;&gt;"",F15&lt;TODAY()),TODAY()-F15,"")</f>
        <v/>
      </c>
      <c r="I15" s="16"/>
    </row>
    <row r="16" customFormat="false" ht="15" hidden="false" customHeight="false" outlineLevel="0" collapsed="false">
      <c r="A16" s="15"/>
      <c r="B16" s="16"/>
      <c r="C16" s="13" t="str">
        <f aca="false">IFERROR(IF(B16="","",VLOOKUP(B16,Inventory!A:B,2,FALSE())),"")</f>
        <v/>
      </c>
      <c r="D16" s="16"/>
      <c r="E16" s="16"/>
      <c r="F16" s="15"/>
      <c r="G16" s="15"/>
      <c r="H16" s="17" t="str">
        <f aca="true">IF(AND(A16&lt;&gt;"",G16="",F16&lt;&gt;"",F16&lt;TODAY()),TODAY()-F16,"")</f>
        <v/>
      </c>
      <c r="I16" s="16"/>
    </row>
    <row r="17" customFormat="false" ht="15" hidden="false" customHeight="false" outlineLevel="0" collapsed="false">
      <c r="A17" s="15"/>
      <c r="B17" s="16"/>
      <c r="C17" s="13" t="str">
        <f aca="false">IFERROR(IF(B17="","",VLOOKUP(B17,Inventory!A:B,2,FALSE())),"")</f>
        <v/>
      </c>
      <c r="D17" s="16"/>
      <c r="E17" s="16"/>
      <c r="F17" s="15"/>
      <c r="G17" s="15"/>
      <c r="H17" s="17" t="str">
        <f aca="true">IF(AND(A17&lt;&gt;"",G17="",F17&lt;&gt;"",F17&lt;TODAY()),TODAY()-F17,"")</f>
        <v/>
      </c>
      <c r="I17" s="16"/>
    </row>
    <row r="18" customFormat="false" ht="15" hidden="false" customHeight="false" outlineLevel="0" collapsed="false">
      <c r="A18" s="15"/>
      <c r="B18" s="16"/>
      <c r="C18" s="13" t="str">
        <f aca="false">IFERROR(IF(B18="","",VLOOKUP(B18,Inventory!A:B,2,FALSE())),"")</f>
        <v/>
      </c>
      <c r="D18" s="16"/>
      <c r="E18" s="16"/>
      <c r="F18" s="15"/>
      <c r="G18" s="15"/>
      <c r="H18" s="17" t="str">
        <f aca="true">IF(AND(A18&lt;&gt;"",G18="",F18&lt;&gt;"",F18&lt;TODAY()),TODAY()-F18,"")</f>
        <v/>
      </c>
      <c r="I18" s="16"/>
    </row>
    <row r="19" customFormat="false" ht="15" hidden="false" customHeight="false" outlineLevel="0" collapsed="false">
      <c r="A19" s="15"/>
      <c r="B19" s="16"/>
      <c r="C19" s="13" t="str">
        <f aca="false">IFERROR(IF(B19="","",VLOOKUP(B19,Inventory!A:B,2,FALSE())),"")</f>
        <v/>
      </c>
      <c r="D19" s="16"/>
      <c r="E19" s="16"/>
      <c r="F19" s="15"/>
      <c r="G19" s="15"/>
      <c r="H19" s="17" t="str">
        <f aca="true">IF(AND(A19&lt;&gt;"",G19="",F19&lt;&gt;"",F19&lt;TODAY()),TODAY()-F19,"")</f>
        <v/>
      </c>
      <c r="I19" s="16"/>
    </row>
    <row r="20" customFormat="false" ht="15" hidden="false" customHeight="false" outlineLevel="0" collapsed="false">
      <c r="A20" s="15"/>
      <c r="B20" s="16"/>
      <c r="C20" s="13" t="str">
        <f aca="false">IFERROR(IF(B20="","",VLOOKUP(B20,Inventory!A:B,2,FALSE())),"")</f>
        <v/>
      </c>
      <c r="D20" s="16"/>
      <c r="E20" s="16"/>
      <c r="F20" s="15"/>
      <c r="G20" s="15"/>
      <c r="H20" s="17" t="str">
        <f aca="true">IF(AND(A20&lt;&gt;"",G20="",F20&lt;&gt;"",F20&lt;TODAY()),TODAY()-F20,"")</f>
        <v/>
      </c>
      <c r="I20" s="16"/>
    </row>
    <row r="21" customFormat="false" ht="15" hidden="false" customHeight="false" outlineLevel="0" collapsed="false">
      <c r="A21" s="15"/>
      <c r="B21" s="16"/>
      <c r="C21" s="13" t="str">
        <f aca="false">IFERROR(IF(B21="","",VLOOKUP(B21,Inventory!A:B,2,FALSE())),"")</f>
        <v/>
      </c>
      <c r="D21" s="16"/>
      <c r="E21" s="16"/>
      <c r="F21" s="15"/>
      <c r="G21" s="15"/>
      <c r="H21" s="17" t="str">
        <f aca="true">IF(AND(A21&lt;&gt;"",G21="",F21&lt;&gt;"",F21&lt;TODAY()),TODAY()-F21,"")</f>
        <v/>
      </c>
      <c r="I21" s="16"/>
    </row>
    <row r="22" customFormat="false" ht="15" hidden="false" customHeight="false" outlineLevel="0" collapsed="false">
      <c r="A22" s="15"/>
      <c r="B22" s="16"/>
      <c r="C22" s="13" t="str">
        <f aca="false">IFERROR(IF(B22="","",VLOOKUP(B22,Inventory!A:B,2,FALSE())),"")</f>
        <v/>
      </c>
      <c r="D22" s="16"/>
      <c r="E22" s="16"/>
      <c r="F22" s="15"/>
      <c r="G22" s="15"/>
      <c r="H22" s="17" t="str">
        <f aca="true">IF(AND(A22&lt;&gt;"",G22="",F22&lt;&gt;"",F22&lt;TODAY()),TODAY()-F22,"")</f>
        <v/>
      </c>
      <c r="I22" s="16"/>
    </row>
    <row r="23" customFormat="false" ht="15" hidden="false" customHeight="false" outlineLevel="0" collapsed="false">
      <c r="A23" s="15"/>
      <c r="B23" s="16"/>
      <c r="C23" s="13" t="str">
        <f aca="false">IFERROR(IF(B23="","",VLOOKUP(B23,Inventory!A:B,2,FALSE())),"")</f>
        <v/>
      </c>
      <c r="D23" s="16"/>
      <c r="E23" s="16"/>
      <c r="F23" s="15"/>
      <c r="G23" s="15"/>
      <c r="H23" s="17" t="str">
        <f aca="true">IF(AND(A23&lt;&gt;"",G23="",F23&lt;&gt;"",F23&lt;TODAY()),TODAY()-F23,"")</f>
        <v/>
      </c>
      <c r="I23" s="16"/>
    </row>
    <row r="24" customFormat="false" ht="15" hidden="false" customHeight="false" outlineLevel="0" collapsed="false">
      <c r="A24" s="15"/>
      <c r="B24" s="16"/>
      <c r="C24" s="13" t="str">
        <f aca="false">IFERROR(IF(B24="","",VLOOKUP(B24,Inventory!A:B,2,FALSE())),"")</f>
        <v/>
      </c>
      <c r="D24" s="16"/>
      <c r="E24" s="16"/>
      <c r="F24" s="15"/>
      <c r="G24" s="15"/>
      <c r="H24" s="17" t="str">
        <f aca="true">IF(AND(A24&lt;&gt;"",G24="",F24&lt;&gt;"",F24&lt;TODAY()),TODAY()-F24,"")</f>
        <v/>
      </c>
      <c r="I24" s="16"/>
    </row>
    <row r="25" customFormat="false" ht="15" hidden="false" customHeight="false" outlineLevel="0" collapsed="false">
      <c r="A25" s="15"/>
      <c r="B25" s="16"/>
      <c r="C25" s="13" t="str">
        <f aca="false">IFERROR(IF(B25="","",VLOOKUP(B25,Inventory!A:B,2,FALSE())),"")</f>
        <v/>
      </c>
      <c r="D25" s="16"/>
      <c r="E25" s="16"/>
      <c r="F25" s="15"/>
      <c r="G25" s="15"/>
      <c r="H25" s="17" t="str">
        <f aca="true">IF(AND(A25&lt;&gt;"",G25="",F25&lt;&gt;"",F25&lt;TODAY()),TODAY()-F25,"")</f>
        <v/>
      </c>
      <c r="I25" s="16"/>
    </row>
    <row r="26" customFormat="false" ht="15" hidden="false" customHeight="false" outlineLevel="0" collapsed="false">
      <c r="A26" s="15"/>
      <c r="B26" s="16"/>
      <c r="C26" s="13" t="str">
        <f aca="false">IFERROR(IF(B26="","",VLOOKUP(B26,Inventory!A:B,2,FALSE())),"")</f>
        <v/>
      </c>
      <c r="D26" s="16"/>
      <c r="E26" s="16"/>
      <c r="F26" s="15"/>
      <c r="G26" s="15"/>
      <c r="H26" s="17" t="str">
        <f aca="true">IF(AND(A26&lt;&gt;"",G26="",F26&lt;&gt;"",F26&lt;TODAY()),TODAY()-F26,"")</f>
        <v/>
      </c>
      <c r="I26" s="16"/>
    </row>
    <row r="27" customFormat="false" ht="15" hidden="false" customHeight="false" outlineLevel="0" collapsed="false">
      <c r="A27" s="15"/>
      <c r="B27" s="16"/>
      <c r="C27" s="13" t="str">
        <f aca="false">IFERROR(IF(B27="","",VLOOKUP(B27,Inventory!A:B,2,FALSE())),"")</f>
        <v/>
      </c>
      <c r="D27" s="16"/>
      <c r="E27" s="16"/>
      <c r="F27" s="15"/>
      <c r="G27" s="15"/>
      <c r="H27" s="17" t="str">
        <f aca="true">IF(AND(A27&lt;&gt;"",G27="",F27&lt;&gt;"",F27&lt;TODAY()),TODAY()-F27,"")</f>
        <v/>
      </c>
      <c r="I27" s="16"/>
    </row>
    <row r="28" customFormat="false" ht="15" hidden="false" customHeight="false" outlineLevel="0" collapsed="false">
      <c r="A28" s="15"/>
      <c r="B28" s="16"/>
      <c r="C28" s="13" t="str">
        <f aca="false">IFERROR(IF(B28="","",VLOOKUP(B28,Inventory!A:B,2,FALSE())),"")</f>
        <v/>
      </c>
      <c r="D28" s="16"/>
      <c r="E28" s="16"/>
      <c r="F28" s="15"/>
      <c r="G28" s="15"/>
      <c r="H28" s="17" t="str">
        <f aca="true">IF(AND(A28&lt;&gt;"",G28="",F28&lt;&gt;"",F28&lt;TODAY()),TODAY()-F28,"")</f>
        <v/>
      </c>
      <c r="I28" s="16"/>
    </row>
    <row r="29" customFormat="false" ht="15" hidden="false" customHeight="false" outlineLevel="0" collapsed="false">
      <c r="A29" s="15"/>
      <c r="B29" s="16"/>
      <c r="C29" s="13" t="str">
        <f aca="false">IFERROR(IF(B29="","",VLOOKUP(B29,Inventory!A:B,2,FALSE())),"")</f>
        <v/>
      </c>
      <c r="D29" s="16"/>
      <c r="E29" s="16"/>
      <c r="F29" s="15"/>
      <c r="G29" s="15"/>
      <c r="H29" s="17" t="str">
        <f aca="true">IF(AND(A29&lt;&gt;"",G29="",F29&lt;&gt;"",F29&lt;TODAY()),TODAY()-F29,"")</f>
        <v/>
      </c>
      <c r="I29" s="16"/>
    </row>
    <row r="30" customFormat="false" ht="15" hidden="false" customHeight="false" outlineLevel="0" collapsed="false">
      <c r="A30" s="15"/>
      <c r="B30" s="16"/>
      <c r="C30" s="13" t="str">
        <f aca="false">IFERROR(IF(B30="","",VLOOKUP(B30,Inventory!A:B,2,FALSE())),"")</f>
        <v/>
      </c>
      <c r="D30" s="16"/>
      <c r="E30" s="16"/>
      <c r="F30" s="15"/>
      <c r="G30" s="15"/>
      <c r="H30" s="17" t="str">
        <f aca="true">IF(AND(A30&lt;&gt;"",G30="",F30&lt;&gt;"",F30&lt;TODAY()),TODAY()-F30,"")</f>
        <v/>
      </c>
      <c r="I30" s="16"/>
    </row>
    <row r="31" customFormat="false" ht="15" hidden="false" customHeight="false" outlineLevel="0" collapsed="false">
      <c r="A31" s="15"/>
      <c r="B31" s="16"/>
      <c r="C31" s="13" t="str">
        <f aca="false">IFERROR(IF(B31="","",VLOOKUP(B31,Inventory!A:B,2,FALSE())),"")</f>
        <v/>
      </c>
      <c r="D31" s="16"/>
      <c r="E31" s="16"/>
      <c r="F31" s="15"/>
      <c r="G31" s="15"/>
      <c r="H31" s="17" t="str">
        <f aca="true">IF(AND(A31&lt;&gt;"",G31="",F31&lt;&gt;"",F31&lt;TODAY()),TODAY()-F31,"")</f>
        <v/>
      </c>
      <c r="I31" s="16"/>
    </row>
    <row r="32" customFormat="false" ht="15" hidden="false" customHeight="false" outlineLevel="0" collapsed="false">
      <c r="A32" s="15"/>
      <c r="B32" s="16"/>
      <c r="C32" s="13" t="str">
        <f aca="false">IFERROR(IF(B32="","",VLOOKUP(B32,Inventory!A:B,2,FALSE())),"")</f>
        <v/>
      </c>
      <c r="D32" s="16"/>
      <c r="E32" s="16"/>
      <c r="F32" s="15"/>
      <c r="G32" s="15"/>
      <c r="H32" s="17" t="str">
        <f aca="true">IF(AND(A32&lt;&gt;"",G32="",F32&lt;&gt;"",F32&lt;TODAY()),TODAY()-F32,"")</f>
        <v/>
      </c>
      <c r="I32" s="16"/>
    </row>
    <row r="33" customFormat="false" ht="15" hidden="false" customHeight="false" outlineLevel="0" collapsed="false">
      <c r="A33" s="15"/>
      <c r="B33" s="16"/>
      <c r="C33" s="13" t="str">
        <f aca="false">IFERROR(IF(B33="","",VLOOKUP(B33,Inventory!A:B,2,FALSE())),"")</f>
        <v/>
      </c>
      <c r="D33" s="16"/>
      <c r="E33" s="16"/>
      <c r="F33" s="15"/>
      <c r="G33" s="15"/>
      <c r="H33" s="17" t="str">
        <f aca="true">IF(AND(A33&lt;&gt;"",G33="",F33&lt;&gt;"",F33&lt;TODAY()),TODAY()-F33,"")</f>
        <v/>
      </c>
      <c r="I33" s="16"/>
    </row>
    <row r="34" customFormat="false" ht="15" hidden="false" customHeight="false" outlineLevel="0" collapsed="false">
      <c r="A34" s="15"/>
      <c r="B34" s="16"/>
      <c r="C34" s="13" t="str">
        <f aca="false">IFERROR(IF(B34="","",VLOOKUP(B34,Inventory!A:B,2,FALSE())),"")</f>
        <v/>
      </c>
      <c r="D34" s="16"/>
      <c r="E34" s="16"/>
      <c r="F34" s="15"/>
      <c r="G34" s="15"/>
      <c r="H34" s="17" t="str">
        <f aca="true">IF(AND(A34&lt;&gt;"",G34="",F34&lt;&gt;"",F34&lt;TODAY()),TODAY()-F34,"")</f>
        <v/>
      </c>
      <c r="I34" s="16"/>
    </row>
    <row r="35" customFormat="false" ht="15" hidden="false" customHeight="false" outlineLevel="0" collapsed="false">
      <c r="A35" s="15"/>
      <c r="B35" s="16"/>
      <c r="C35" s="13" t="str">
        <f aca="false">IFERROR(IF(B35="","",VLOOKUP(B35,Inventory!A:B,2,FALSE())),"")</f>
        <v/>
      </c>
      <c r="D35" s="16"/>
      <c r="E35" s="16"/>
      <c r="F35" s="15"/>
      <c r="G35" s="15"/>
      <c r="H35" s="17" t="str">
        <f aca="true">IF(AND(A35&lt;&gt;"",G35="",F35&lt;&gt;"",F35&lt;TODAY()),TODAY()-F35,"")</f>
        <v/>
      </c>
      <c r="I35" s="16"/>
    </row>
    <row r="36" customFormat="false" ht="15" hidden="false" customHeight="false" outlineLevel="0" collapsed="false">
      <c r="A36" s="15"/>
      <c r="B36" s="16"/>
      <c r="C36" s="13" t="str">
        <f aca="false">IFERROR(IF(B36="","",VLOOKUP(B36,Inventory!A:B,2,FALSE())),"")</f>
        <v/>
      </c>
      <c r="D36" s="16"/>
      <c r="E36" s="16"/>
      <c r="F36" s="15"/>
      <c r="G36" s="15"/>
      <c r="H36" s="17" t="str">
        <f aca="true">IF(AND(A36&lt;&gt;"",G36="",F36&lt;&gt;"",F36&lt;TODAY()),TODAY()-F36,"")</f>
        <v/>
      </c>
      <c r="I36" s="16"/>
    </row>
    <row r="37" customFormat="false" ht="15" hidden="false" customHeight="false" outlineLevel="0" collapsed="false">
      <c r="A37" s="15"/>
      <c r="B37" s="16"/>
      <c r="C37" s="13" t="str">
        <f aca="false">IFERROR(IF(B37="","",VLOOKUP(B37,Inventory!A:B,2,FALSE())),"")</f>
        <v/>
      </c>
      <c r="D37" s="16"/>
      <c r="E37" s="16"/>
      <c r="F37" s="15"/>
      <c r="G37" s="15"/>
      <c r="H37" s="17" t="str">
        <f aca="true">IF(AND(A37&lt;&gt;"",G37="",F37&lt;&gt;"",F37&lt;TODAY()),TODAY()-F37,"")</f>
        <v/>
      </c>
      <c r="I37" s="16"/>
    </row>
    <row r="38" customFormat="false" ht="15" hidden="false" customHeight="false" outlineLevel="0" collapsed="false">
      <c r="A38" s="15"/>
      <c r="B38" s="16"/>
      <c r="C38" s="13" t="str">
        <f aca="false">IFERROR(IF(B38="","",VLOOKUP(B38,Inventory!A:B,2,FALSE())),"")</f>
        <v/>
      </c>
      <c r="D38" s="16"/>
      <c r="E38" s="16"/>
      <c r="F38" s="15"/>
      <c r="G38" s="15"/>
      <c r="H38" s="17" t="str">
        <f aca="true">IF(AND(A38&lt;&gt;"",G38="",F38&lt;&gt;"",F38&lt;TODAY()),TODAY()-F38,"")</f>
        <v/>
      </c>
      <c r="I38" s="16"/>
    </row>
    <row r="39" customFormat="false" ht="15" hidden="false" customHeight="false" outlineLevel="0" collapsed="false">
      <c r="A39" s="15"/>
      <c r="B39" s="16"/>
      <c r="C39" s="13" t="str">
        <f aca="false">IFERROR(IF(B39="","",VLOOKUP(B39,Inventory!A:B,2,FALSE())),"")</f>
        <v/>
      </c>
      <c r="D39" s="16"/>
      <c r="E39" s="16"/>
      <c r="F39" s="15"/>
      <c r="G39" s="15"/>
      <c r="H39" s="17" t="str">
        <f aca="true">IF(AND(A39&lt;&gt;"",G39="",F39&lt;&gt;"",F39&lt;TODAY()),TODAY()-F39,"")</f>
        <v/>
      </c>
      <c r="I39" s="16"/>
    </row>
    <row r="40" customFormat="false" ht="15" hidden="false" customHeight="false" outlineLevel="0" collapsed="false">
      <c r="A40" s="15"/>
      <c r="B40" s="16"/>
      <c r="C40" s="13" t="str">
        <f aca="false">IFERROR(IF(B40="","",VLOOKUP(B40,Inventory!A:B,2,FALSE())),"")</f>
        <v/>
      </c>
      <c r="D40" s="16"/>
      <c r="E40" s="16"/>
      <c r="F40" s="15"/>
      <c r="G40" s="15"/>
      <c r="H40" s="17" t="str">
        <f aca="true">IF(AND(A40&lt;&gt;"",G40="",F40&lt;&gt;"",F40&lt;TODAY()),TODAY()-F40,"")</f>
        <v/>
      </c>
      <c r="I40" s="16"/>
    </row>
    <row r="41" customFormat="false" ht="15" hidden="false" customHeight="false" outlineLevel="0" collapsed="false">
      <c r="A41" s="15"/>
      <c r="B41" s="16"/>
      <c r="C41" s="13" t="str">
        <f aca="false">IFERROR(IF(B41="","",VLOOKUP(B41,Inventory!A:B,2,FALSE())),"")</f>
        <v/>
      </c>
      <c r="D41" s="16"/>
      <c r="E41" s="16"/>
      <c r="F41" s="15"/>
      <c r="G41" s="15"/>
      <c r="H41" s="17" t="str">
        <f aca="true">IF(AND(A41&lt;&gt;"",G41="",F41&lt;&gt;"",F41&lt;TODAY()),TODAY()-F41,"")</f>
        <v/>
      </c>
      <c r="I41" s="16"/>
    </row>
    <row r="42" customFormat="false" ht="15" hidden="false" customHeight="false" outlineLevel="0" collapsed="false">
      <c r="A42" s="15"/>
      <c r="B42" s="16"/>
      <c r="C42" s="13" t="str">
        <f aca="false">IFERROR(IF(B42="","",VLOOKUP(B42,Inventory!A:B,2,FALSE())),"")</f>
        <v/>
      </c>
      <c r="D42" s="16"/>
      <c r="E42" s="16"/>
      <c r="F42" s="15"/>
      <c r="G42" s="15"/>
      <c r="H42" s="17" t="str">
        <f aca="true">IF(AND(A42&lt;&gt;"",G42="",F42&lt;&gt;"",F42&lt;TODAY()),TODAY()-F42,"")</f>
        <v/>
      </c>
      <c r="I42" s="16"/>
    </row>
    <row r="43" customFormat="false" ht="15" hidden="false" customHeight="false" outlineLevel="0" collapsed="false">
      <c r="A43" s="15"/>
      <c r="B43" s="16"/>
      <c r="C43" s="13" t="str">
        <f aca="false">IFERROR(IF(B43="","",VLOOKUP(B43,Inventory!A:B,2,FALSE())),"")</f>
        <v/>
      </c>
      <c r="D43" s="16"/>
      <c r="E43" s="16"/>
      <c r="F43" s="15"/>
      <c r="G43" s="15"/>
      <c r="H43" s="17" t="str">
        <f aca="true">IF(AND(A43&lt;&gt;"",G43="",F43&lt;&gt;"",F43&lt;TODAY()),TODAY()-F43,"")</f>
        <v/>
      </c>
      <c r="I43" s="16"/>
    </row>
    <row r="44" customFormat="false" ht="15" hidden="false" customHeight="false" outlineLevel="0" collapsed="false">
      <c r="A44" s="15"/>
      <c r="B44" s="16"/>
      <c r="C44" s="13" t="str">
        <f aca="false">IFERROR(IF(B44="","",VLOOKUP(B44,Inventory!A:B,2,FALSE())),"")</f>
        <v/>
      </c>
      <c r="D44" s="16"/>
      <c r="E44" s="16"/>
      <c r="F44" s="15"/>
      <c r="G44" s="15"/>
      <c r="H44" s="17" t="str">
        <f aca="true">IF(AND(A44&lt;&gt;"",G44="",F44&lt;&gt;"",F44&lt;TODAY()),TODAY()-F44,"")</f>
        <v/>
      </c>
      <c r="I44" s="16"/>
    </row>
    <row r="45" customFormat="false" ht="15" hidden="false" customHeight="false" outlineLevel="0" collapsed="false">
      <c r="A45" s="15"/>
      <c r="B45" s="16"/>
      <c r="C45" s="13" t="str">
        <f aca="false">IFERROR(IF(B45="","",VLOOKUP(B45,Inventory!A:B,2,FALSE())),"")</f>
        <v/>
      </c>
      <c r="D45" s="16"/>
      <c r="E45" s="16"/>
      <c r="F45" s="15"/>
      <c r="G45" s="15"/>
      <c r="H45" s="17" t="str">
        <f aca="true">IF(AND(A45&lt;&gt;"",G45="",F45&lt;&gt;"",F45&lt;TODAY()),TODAY()-F45,"")</f>
        <v/>
      </c>
      <c r="I45" s="16"/>
    </row>
    <row r="46" customFormat="false" ht="15" hidden="false" customHeight="false" outlineLevel="0" collapsed="false">
      <c r="A46" s="15"/>
      <c r="B46" s="16"/>
      <c r="C46" s="13" t="str">
        <f aca="false">IFERROR(IF(B46="","",VLOOKUP(B46,Inventory!A:B,2,FALSE())),"")</f>
        <v/>
      </c>
      <c r="D46" s="16"/>
      <c r="E46" s="16"/>
      <c r="F46" s="15"/>
      <c r="G46" s="15"/>
      <c r="H46" s="17" t="str">
        <f aca="true">IF(AND(A46&lt;&gt;"",G46="",F46&lt;&gt;"",F46&lt;TODAY()),TODAY()-F46,"")</f>
        <v/>
      </c>
      <c r="I46" s="16"/>
    </row>
    <row r="47" customFormat="false" ht="15" hidden="false" customHeight="false" outlineLevel="0" collapsed="false">
      <c r="A47" s="15"/>
      <c r="B47" s="16"/>
      <c r="C47" s="13" t="str">
        <f aca="false">IFERROR(IF(B47="","",VLOOKUP(B47,Inventory!A:B,2,FALSE())),"")</f>
        <v/>
      </c>
      <c r="D47" s="16"/>
      <c r="E47" s="16"/>
      <c r="F47" s="15"/>
      <c r="G47" s="15"/>
      <c r="H47" s="17" t="str">
        <f aca="true">IF(AND(A47&lt;&gt;"",G47="",F47&lt;&gt;"",F47&lt;TODAY()),TODAY()-F47,"")</f>
        <v/>
      </c>
      <c r="I47" s="16"/>
    </row>
    <row r="48" customFormat="false" ht="15" hidden="false" customHeight="false" outlineLevel="0" collapsed="false">
      <c r="A48" s="15"/>
      <c r="B48" s="16"/>
      <c r="C48" s="13" t="str">
        <f aca="false">IFERROR(IF(B48="","",VLOOKUP(B48,Inventory!A:B,2,FALSE())),"")</f>
        <v/>
      </c>
      <c r="D48" s="16"/>
      <c r="E48" s="16"/>
      <c r="F48" s="15"/>
      <c r="G48" s="15"/>
      <c r="H48" s="17" t="str">
        <f aca="true">IF(AND(A48&lt;&gt;"",G48="",F48&lt;&gt;"",F48&lt;TODAY()),TODAY()-F48,"")</f>
        <v/>
      </c>
      <c r="I48" s="16"/>
    </row>
    <row r="49" customFormat="false" ht="15" hidden="false" customHeight="false" outlineLevel="0" collapsed="false">
      <c r="A49" s="15"/>
      <c r="B49" s="16"/>
      <c r="C49" s="13" t="str">
        <f aca="false">IFERROR(IF(B49="","",VLOOKUP(B49,Inventory!A:B,2,FALSE())),"")</f>
        <v/>
      </c>
      <c r="D49" s="16"/>
      <c r="E49" s="16"/>
      <c r="F49" s="15"/>
      <c r="G49" s="15"/>
      <c r="H49" s="17" t="str">
        <f aca="true">IF(AND(A49&lt;&gt;"",G49="",F49&lt;&gt;"",F49&lt;TODAY()),TODAY()-F49,"")</f>
        <v/>
      </c>
      <c r="I49" s="16"/>
    </row>
    <row r="50" customFormat="false" ht="15" hidden="false" customHeight="false" outlineLevel="0" collapsed="false">
      <c r="A50" s="15"/>
      <c r="B50" s="16"/>
      <c r="C50" s="13" t="str">
        <f aca="false">IFERROR(IF(B50="","",VLOOKUP(B50,Inventory!A:B,2,FALSE())),"")</f>
        <v/>
      </c>
      <c r="D50" s="16"/>
      <c r="E50" s="16"/>
      <c r="F50" s="15"/>
      <c r="G50" s="15"/>
      <c r="H50" s="17" t="str">
        <f aca="true">IF(AND(A50&lt;&gt;"",G50="",F50&lt;&gt;"",F50&lt;TODAY()),TODAY()-F50,"")</f>
        <v/>
      </c>
      <c r="I50" s="16"/>
    </row>
    <row r="51" customFormat="false" ht="15" hidden="false" customHeight="false" outlineLevel="0" collapsed="false">
      <c r="A51" s="15"/>
      <c r="B51" s="16"/>
      <c r="C51" s="13" t="str">
        <f aca="false">IFERROR(IF(B51="","",VLOOKUP(B51,Inventory!A:B,2,FALSE())),"")</f>
        <v/>
      </c>
      <c r="D51" s="16"/>
      <c r="E51" s="16"/>
      <c r="F51" s="15"/>
      <c r="G51" s="15"/>
      <c r="H51" s="17" t="str">
        <f aca="true">IF(AND(A51&lt;&gt;"",G51="",F51&lt;&gt;"",F51&lt;TODAY()),TODAY()-F51,"")</f>
        <v/>
      </c>
      <c r="I51" s="16"/>
    </row>
    <row r="52" customFormat="false" ht="15" hidden="false" customHeight="false" outlineLevel="0" collapsed="false">
      <c r="A52" s="15"/>
      <c r="B52" s="16"/>
      <c r="C52" s="13" t="str">
        <f aca="false">IFERROR(IF(B52="","",VLOOKUP(B52,Inventory!A:B,2,FALSE())),"")</f>
        <v/>
      </c>
      <c r="D52" s="16"/>
      <c r="E52" s="16"/>
      <c r="F52" s="15"/>
      <c r="G52" s="15"/>
      <c r="H52" s="17" t="str">
        <f aca="true">IF(AND(A52&lt;&gt;"",G52="",F52&lt;&gt;"",F52&lt;TODAY()),TODAY()-F52,"")</f>
        <v/>
      </c>
      <c r="I52" s="16"/>
    </row>
    <row r="53" customFormat="false" ht="15" hidden="false" customHeight="false" outlineLevel="0" collapsed="false">
      <c r="A53" s="15"/>
      <c r="B53" s="16"/>
      <c r="C53" s="13" t="str">
        <f aca="false">IFERROR(IF(B53="","",VLOOKUP(B53,Inventory!A:B,2,FALSE())),"")</f>
        <v/>
      </c>
      <c r="D53" s="16"/>
      <c r="E53" s="16"/>
      <c r="F53" s="15"/>
      <c r="G53" s="15"/>
      <c r="H53" s="17" t="str">
        <f aca="true">IF(AND(A53&lt;&gt;"",G53="",F53&lt;&gt;"",F53&lt;TODAY()),TODAY()-F53,"")</f>
        <v/>
      </c>
      <c r="I53" s="16"/>
    </row>
    <row r="54" customFormat="false" ht="15" hidden="false" customHeight="false" outlineLevel="0" collapsed="false">
      <c r="A54" s="15"/>
      <c r="B54" s="16"/>
      <c r="C54" s="13" t="str">
        <f aca="false">IFERROR(IF(B54="","",VLOOKUP(B54,Inventory!A:B,2,FALSE())),"")</f>
        <v/>
      </c>
      <c r="D54" s="16"/>
      <c r="E54" s="16"/>
      <c r="F54" s="15"/>
      <c r="G54" s="15"/>
      <c r="H54" s="17" t="str">
        <f aca="true">IF(AND(A54&lt;&gt;"",G54="",F54&lt;&gt;"",F54&lt;TODAY()),TODAY()-F54,"")</f>
        <v/>
      </c>
      <c r="I54" s="16"/>
    </row>
    <row r="55" customFormat="false" ht="15" hidden="false" customHeight="false" outlineLevel="0" collapsed="false">
      <c r="A55" s="15"/>
      <c r="B55" s="16"/>
      <c r="C55" s="13" t="str">
        <f aca="false">IFERROR(IF(B55="","",VLOOKUP(B55,Inventory!A:B,2,FALSE())),"")</f>
        <v/>
      </c>
      <c r="D55" s="16"/>
      <c r="E55" s="16"/>
      <c r="F55" s="15"/>
      <c r="G55" s="15"/>
      <c r="H55" s="17" t="str">
        <f aca="true">IF(AND(A55&lt;&gt;"",G55="",F55&lt;&gt;"",F55&lt;TODAY()),TODAY()-F55,"")</f>
        <v/>
      </c>
      <c r="I55" s="16"/>
    </row>
    <row r="56" customFormat="false" ht="15" hidden="false" customHeight="false" outlineLevel="0" collapsed="false">
      <c r="A56" s="15"/>
      <c r="B56" s="16"/>
      <c r="C56" s="13" t="str">
        <f aca="false">IFERROR(IF(B56="","",VLOOKUP(B56,Inventory!A:B,2,FALSE())),"")</f>
        <v/>
      </c>
      <c r="D56" s="16"/>
      <c r="E56" s="16"/>
      <c r="F56" s="15"/>
      <c r="G56" s="15"/>
      <c r="H56" s="17" t="str">
        <f aca="true">IF(AND(A56&lt;&gt;"",G56="",F56&lt;&gt;"",F56&lt;TODAY()),TODAY()-F56,"")</f>
        <v/>
      </c>
      <c r="I56" s="16"/>
    </row>
    <row r="57" customFormat="false" ht="15" hidden="false" customHeight="false" outlineLevel="0" collapsed="false">
      <c r="A57" s="15"/>
      <c r="B57" s="16"/>
      <c r="C57" s="13" t="str">
        <f aca="false">IFERROR(IF(B57="","",VLOOKUP(B57,Inventory!A:B,2,FALSE())),"")</f>
        <v/>
      </c>
      <c r="D57" s="16"/>
      <c r="E57" s="16"/>
      <c r="F57" s="15"/>
      <c r="G57" s="15"/>
      <c r="H57" s="17" t="str">
        <f aca="true">IF(AND(A57&lt;&gt;"",G57="",F57&lt;&gt;"",F57&lt;TODAY()),TODAY()-F57,"")</f>
        <v/>
      </c>
      <c r="I57" s="16"/>
    </row>
    <row r="58" customFormat="false" ht="15" hidden="false" customHeight="false" outlineLevel="0" collapsed="false">
      <c r="A58" s="15"/>
      <c r="B58" s="16"/>
      <c r="C58" s="13" t="str">
        <f aca="false">IFERROR(IF(B58="","",VLOOKUP(B58,Inventory!A:B,2,FALSE())),"")</f>
        <v/>
      </c>
      <c r="D58" s="16"/>
      <c r="E58" s="16"/>
      <c r="F58" s="15"/>
      <c r="G58" s="15"/>
      <c r="H58" s="17" t="str">
        <f aca="true">IF(AND(A58&lt;&gt;"",G58="",F58&lt;&gt;"",F58&lt;TODAY()),TODAY()-F58,"")</f>
        <v/>
      </c>
      <c r="I58" s="16"/>
    </row>
    <row r="59" customFormat="false" ht="15" hidden="false" customHeight="false" outlineLevel="0" collapsed="false">
      <c r="A59" s="15"/>
      <c r="B59" s="16"/>
      <c r="C59" s="13" t="str">
        <f aca="false">IFERROR(IF(B59="","",VLOOKUP(B59,Inventory!A:B,2,FALSE())),"")</f>
        <v/>
      </c>
      <c r="D59" s="16"/>
      <c r="E59" s="16"/>
      <c r="F59" s="15"/>
      <c r="G59" s="15"/>
      <c r="H59" s="17" t="str">
        <f aca="true">IF(AND(A59&lt;&gt;"",G59="",F59&lt;&gt;"",F59&lt;TODAY()),TODAY()-F59,"")</f>
        <v/>
      </c>
      <c r="I59" s="16"/>
    </row>
    <row r="60" customFormat="false" ht="15" hidden="false" customHeight="false" outlineLevel="0" collapsed="false">
      <c r="A60" s="15"/>
      <c r="B60" s="16"/>
      <c r="C60" s="13" t="str">
        <f aca="false">IFERROR(IF(B60="","",VLOOKUP(B60,Inventory!A:B,2,FALSE())),"")</f>
        <v/>
      </c>
      <c r="D60" s="16"/>
      <c r="E60" s="16"/>
      <c r="F60" s="15"/>
      <c r="G60" s="15"/>
      <c r="H60" s="17" t="str">
        <f aca="true">IF(AND(A60&lt;&gt;"",G60="",F60&lt;&gt;"",F60&lt;TODAY()),TODAY()-F60,"")</f>
        <v/>
      </c>
      <c r="I60" s="16"/>
    </row>
    <row r="61" customFormat="false" ht="15" hidden="false" customHeight="false" outlineLevel="0" collapsed="false">
      <c r="A61" s="15"/>
      <c r="B61" s="16"/>
      <c r="C61" s="13" t="str">
        <f aca="false">IFERROR(IF(B61="","",VLOOKUP(B61,Inventory!A:B,2,FALSE())),"")</f>
        <v/>
      </c>
      <c r="D61" s="16"/>
      <c r="E61" s="16"/>
      <c r="F61" s="15"/>
      <c r="G61" s="15"/>
      <c r="H61" s="17" t="str">
        <f aca="true">IF(AND(A61&lt;&gt;"",G61="",F61&lt;&gt;"",F61&lt;TODAY()),TODAY()-F61,"")</f>
        <v/>
      </c>
      <c r="I61" s="16"/>
    </row>
    <row r="62" customFormat="false" ht="15" hidden="false" customHeight="false" outlineLevel="0" collapsed="false">
      <c r="A62" s="15"/>
      <c r="B62" s="16"/>
      <c r="C62" s="13" t="str">
        <f aca="false">IFERROR(IF(B62="","",VLOOKUP(B62,Inventory!A:B,2,FALSE())),"")</f>
        <v/>
      </c>
      <c r="D62" s="16"/>
      <c r="E62" s="16"/>
      <c r="F62" s="15"/>
      <c r="G62" s="15"/>
      <c r="H62" s="17" t="str">
        <f aca="true">IF(AND(A62&lt;&gt;"",G62="",F62&lt;&gt;"",F62&lt;TODAY()),TODAY()-F62,"")</f>
        <v/>
      </c>
      <c r="I62" s="16"/>
    </row>
    <row r="63" customFormat="false" ht="15" hidden="false" customHeight="false" outlineLevel="0" collapsed="false">
      <c r="A63" s="15"/>
      <c r="B63" s="16"/>
      <c r="C63" s="13" t="str">
        <f aca="false">IFERROR(IF(B63="","",VLOOKUP(B63,Inventory!A:B,2,FALSE())),"")</f>
        <v/>
      </c>
      <c r="D63" s="16"/>
      <c r="E63" s="16"/>
      <c r="F63" s="15"/>
      <c r="G63" s="15"/>
      <c r="H63" s="17" t="str">
        <f aca="true">IF(AND(A63&lt;&gt;"",G63="",F63&lt;&gt;"",F63&lt;TODAY()),TODAY()-F63,"")</f>
        <v/>
      </c>
      <c r="I63" s="16"/>
    </row>
    <row r="64" customFormat="false" ht="15" hidden="false" customHeight="false" outlineLevel="0" collapsed="false">
      <c r="A64" s="15"/>
      <c r="B64" s="16"/>
      <c r="C64" s="13" t="str">
        <f aca="false">IFERROR(IF(B64="","",VLOOKUP(B64,Inventory!A:B,2,FALSE())),"")</f>
        <v/>
      </c>
      <c r="D64" s="16"/>
      <c r="E64" s="16"/>
      <c r="F64" s="15"/>
      <c r="G64" s="15"/>
      <c r="H64" s="17" t="str">
        <f aca="true">IF(AND(A64&lt;&gt;"",G64="",F64&lt;&gt;"",F64&lt;TODAY()),TODAY()-F64,"")</f>
        <v/>
      </c>
      <c r="I64" s="16"/>
    </row>
    <row r="65" customFormat="false" ht="15" hidden="false" customHeight="false" outlineLevel="0" collapsed="false">
      <c r="A65" s="15"/>
      <c r="B65" s="16"/>
      <c r="C65" s="13" t="str">
        <f aca="false">IFERROR(IF(B65="","",VLOOKUP(B65,Inventory!A:B,2,FALSE())),"")</f>
        <v/>
      </c>
      <c r="D65" s="16"/>
      <c r="E65" s="16"/>
      <c r="F65" s="15"/>
      <c r="G65" s="15"/>
      <c r="H65" s="17" t="str">
        <f aca="true">IF(AND(A65&lt;&gt;"",G65="",F65&lt;&gt;"",F65&lt;TODAY()),TODAY()-F65,"")</f>
        <v/>
      </c>
      <c r="I65" s="16"/>
    </row>
    <row r="66" customFormat="false" ht="15" hidden="false" customHeight="false" outlineLevel="0" collapsed="false">
      <c r="A66" s="15"/>
      <c r="B66" s="16"/>
      <c r="C66" s="13" t="str">
        <f aca="false">IFERROR(IF(B66="","",VLOOKUP(B66,Inventory!A:B,2,FALSE())),"")</f>
        <v/>
      </c>
      <c r="D66" s="16"/>
      <c r="E66" s="16"/>
      <c r="F66" s="15"/>
      <c r="G66" s="15"/>
      <c r="H66" s="17" t="str">
        <f aca="true">IF(AND(A66&lt;&gt;"",G66="",F66&lt;&gt;"",F66&lt;TODAY()),TODAY()-F66,"")</f>
        <v/>
      </c>
      <c r="I66" s="16"/>
    </row>
    <row r="67" customFormat="false" ht="15" hidden="false" customHeight="false" outlineLevel="0" collapsed="false">
      <c r="A67" s="15"/>
      <c r="B67" s="16"/>
      <c r="C67" s="13" t="str">
        <f aca="false">IFERROR(IF(B67="","",VLOOKUP(B67,Inventory!A:B,2,FALSE())),"")</f>
        <v/>
      </c>
      <c r="D67" s="16"/>
      <c r="E67" s="16"/>
      <c r="F67" s="15"/>
      <c r="G67" s="15"/>
      <c r="H67" s="17" t="str">
        <f aca="true">IF(AND(A67&lt;&gt;"",G67="",F67&lt;&gt;"",F67&lt;TODAY()),TODAY()-F67,"")</f>
        <v/>
      </c>
      <c r="I67" s="16"/>
    </row>
    <row r="68" customFormat="false" ht="15" hidden="false" customHeight="false" outlineLevel="0" collapsed="false">
      <c r="A68" s="15"/>
      <c r="B68" s="16"/>
      <c r="C68" s="13" t="str">
        <f aca="false">IFERROR(IF(B68="","",VLOOKUP(B68,Inventory!A:B,2,FALSE())),"")</f>
        <v/>
      </c>
      <c r="D68" s="16"/>
      <c r="E68" s="16"/>
      <c r="F68" s="15"/>
      <c r="G68" s="15"/>
      <c r="H68" s="17" t="str">
        <f aca="true">IF(AND(A68&lt;&gt;"",G68="",F68&lt;&gt;"",F68&lt;TODAY()),TODAY()-F68,"")</f>
        <v/>
      </c>
      <c r="I68" s="16"/>
    </row>
    <row r="69" customFormat="false" ht="15" hidden="false" customHeight="false" outlineLevel="0" collapsed="false">
      <c r="A69" s="15"/>
      <c r="B69" s="16"/>
      <c r="C69" s="13" t="str">
        <f aca="false">IFERROR(IF(B69="","",VLOOKUP(B69,Inventory!A:B,2,FALSE())),"")</f>
        <v/>
      </c>
      <c r="D69" s="16"/>
      <c r="E69" s="16"/>
      <c r="F69" s="15"/>
      <c r="G69" s="15"/>
      <c r="H69" s="17" t="str">
        <f aca="true">IF(AND(A69&lt;&gt;"",G69="",F69&lt;&gt;"",F69&lt;TODAY()),TODAY()-F69,"")</f>
        <v/>
      </c>
      <c r="I69" s="16"/>
    </row>
    <row r="70" customFormat="false" ht="15" hidden="false" customHeight="false" outlineLevel="0" collapsed="false">
      <c r="A70" s="15"/>
      <c r="B70" s="16"/>
      <c r="C70" s="13" t="str">
        <f aca="false">IFERROR(IF(B70="","",VLOOKUP(B70,Inventory!A:B,2,FALSE())),"")</f>
        <v/>
      </c>
      <c r="D70" s="16"/>
      <c r="E70" s="16"/>
      <c r="F70" s="15"/>
      <c r="G70" s="15"/>
      <c r="H70" s="17" t="str">
        <f aca="true">IF(AND(A70&lt;&gt;"",G70="",F70&lt;&gt;"",F70&lt;TODAY()),TODAY()-F70,"")</f>
        <v/>
      </c>
      <c r="I70" s="16"/>
    </row>
    <row r="71" customFormat="false" ht="15" hidden="false" customHeight="false" outlineLevel="0" collapsed="false">
      <c r="A71" s="15"/>
      <c r="B71" s="16"/>
      <c r="C71" s="13" t="str">
        <f aca="false">IFERROR(IF(B71="","",VLOOKUP(B71,Inventory!A:B,2,FALSE())),"")</f>
        <v/>
      </c>
      <c r="D71" s="16"/>
      <c r="E71" s="16"/>
      <c r="F71" s="15"/>
      <c r="G71" s="15"/>
      <c r="H71" s="17" t="str">
        <f aca="true">IF(AND(A71&lt;&gt;"",G71="",F71&lt;&gt;"",F71&lt;TODAY()),TODAY()-F71,"")</f>
        <v/>
      </c>
      <c r="I71" s="16"/>
    </row>
    <row r="72" customFormat="false" ht="15" hidden="false" customHeight="false" outlineLevel="0" collapsed="false">
      <c r="A72" s="15"/>
      <c r="B72" s="16"/>
      <c r="C72" s="13" t="str">
        <f aca="false">IFERROR(IF(B72="","",VLOOKUP(B72,Inventory!A:B,2,FALSE())),"")</f>
        <v/>
      </c>
      <c r="D72" s="16"/>
      <c r="E72" s="16"/>
      <c r="F72" s="15"/>
      <c r="G72" s="15"/>
      <c r="H72" s="17" t="str">
        <f aca="true">IF(AND(A72&lt;&gt;"",G72="",F72&lt;&gt;"",F72&lt;TODAY()),TODAY()-F72,"")</f>
        <v/>
      </c>
      <c r="I72" s="16"/>
    </row>
    <row r="73" customFormat="false" ht="15" hidden="false" customHeight="false" outlineLevel="0" collapsed="false">
      <c r="A73" s="15"/>
      <c r="B73" s="16"/>
      <c r="C73" s="13" t="str">
        <f aca="false">IFERROR(IF(B73="","",VLOOKUP(B73,Inventory!A:B,2,FALSE())),"")</f>
        <v/>
      </c>
      <c r="D73" s="16"/>
      <c r="E73" s="16"/>
      <c r="F73" s="15"/>
      <c r="G73" s="15"/>
      <c r="H73" s="17" t="str">
        <f aca="true">IF(AND(A73&lt;&gt;"",G73="",F73&lt;&gt;"",F73&lt;TODAY()),TODAY()-F73,"")</f>
        <v/>
      </c>
      <c r="I73" s="16"/>
    </row>
    <row r="74" customFormat="false" ht="15" hidden="false" customHeight="false" outlineLevel="0" collapsed="false">
      <c r="A74" s="15"/>
      <c r="B74" s="16"/>
      <c r="C74" s="13" t="str">
        <f aca="false">IFERROR(IF(B74="","",VLOOKUP(B74,Inventory!A:B,2,FALSE())),"")</f>
        <v/>
      </c>
      <c r="D74" s="16"/>
      <c r="E74" s="16"/>
      <c r="F74" s="15"/>
      <c r="G74" s="15"/>
      <c r="H74" s="17" t="str">
        <f aca="true">IF(AND(A74&lt;&gt;"",G74="",F74&lt;&gt;"",F74&lt;TODAY()),TODAY()-F74,"")</f>
        <v/>
      </c>
      <c r="I74" s="16"/>
    </row>
    <row r="75" customFormat="false" ht="15" hidden="false" customHeight="false" outlineLevel="0" collapsed="false">
      <c r="A75" s="15"/>
      <c r="B75" s="16"/>
      <c r="C75" s="13" t="str">
        <f aca="false">IFERROR(IF(B75="","",VLOOKUP(B75,Inventory!A:B,2,FALSE())),"")</f>
        <v/>
      </c>
      <c r="D75" s="16"/>
      <c r="E75" s="16"/>
      <c r="F75" s="15"/>
      <c r="G75" s="15"/>
      <c r="H75" s="17" t="str">
        <f aca="true">IF(AND(A75&lt;&gt;"",G75="",F75&lt;&gt;"",F75&lt;TODAY()),TODAY()-F75,"")</f>
        <v/>
      </c>
      <c r="I75" s="16"/>
    </row>
    <row r="76" customFormat="false" ht="15" hidden="false" customHeight="false" outlineLevel="0" collapsed="false">
      <c r="A76" s="15"/>
      <c r="B76" s="16"/>
      <c r="C76" s="13" t="str">
        <f aca="false">IFERROR(IF(B76="","",VLOOKUP(B76,Inventory!A:B,2,FALSE())),"")</f>
        <v/>
      </c>
      <c r="D76" s="16"/>
      <c r="E76" s="16"/>
      <c r="F76" s="15"/>
      <c r="G76" s="15"/>
      <c r="H76" s="17" t="str">
        <f aca="true">IF(AND(A76&lt;&gt;"",G76="",F76&lt;&gt;"",F76&lt;TODAY()),TODAY()-F76,"")</f>
        <v/>
      </c>
      <c r="I76" s="16"/>
    </row>
    <row r="77" customFormat="false" ht="15" hidden="false" customHeight="false" outlineLevel="0" collapsed="false">
      <c r="A77" s="15"/>
      <c r="B77" s="16"/>
      <c r="C77" s="13" t="str">
        <f aca="false">IFERROR(IF(B77="","",VLOOKUP(B77,Inventory!A:B,2,FALSE())),"")</f>
        <v/>
      </c>
      <c r="D77" s="16"/>
      <c r="E77" s="16"/>
      <c r="F77" s="15"/>
      <c r="G77" s="15"/>
      <c r="H77" s="17" t="str">
        <f aca="true">IF(AND(A77&lt;&gt;"",G77="",F77&lt;&gt;"",F77&lt;TODAY()),TODAY()-F77,"")</f>
        <v/>
      </c>
      <c r="I77" s="16"/>
    </row>
    <row r="78" customFormat="false" ht="15" hidden="false" customHeight="false" outlineLevel="0" collapsed="false">
      <c r="A78" s="15"/>
      <c r="B78" s="16"/>
      <c r="C78" s="13" t="str">
        <f aca="false">IFERROR(IF(B78="","",VLOOKUP(B78,Inventory!A:B,2,FALSE())),"")</f>
        <v/>
      </c>
      <c r="D78" s="16"/>
      <c r="E78" s="16"/>
      <c r="F78" s="15"/>
      <c r="G78" s="15"/>
      <c r="H78" s="17" t="str">
        <f aca="true">IF(AND(A78&lt;&gt;"",G78="",F78&lt;&gt;"",F78&lt;TODAY()),TODAY()-F78,"")</f>
        <v/>
      </c>
      <c r="I78" s="16"/>
    </row>
    <row r="79" customFormat="false" ht="15" hidden="false" customHeight="false" outlineLevel="0" collapsed="false">
      <c r="A79" s="15"/>
      <c r="B79" s="16"/>
      <c r="C79" s="13" t="str">
        <f aca="false">IFERROR(IF(B79="","",VLOOKUP(B79,Inventory!A:B,2,FALSE())),"")</f>
        <v/>
      </c>
      <c r="D79" s="16"/>
      <c r="E79" s="16"/>
      <c r="F79" s="15"/>
      <c r="G79" s="15"/>
      <c r="H79" s="17" t="str">
        <f aca="true">IF(AND(A79&lt;&gt;"",G79="",F79&lt;&gt;"",F79&lt;TODAY()),TODAY()-F79,"")</f>
        <v/>
      </c>
      <c r="I79" s="16"/>
    </row>
    <row r="80" customFormat="false" ht="15" hidden="false" customHeight="false" outlineLevel="0" collapsed="false">
      <c r="A80" s="15"/>
      <c r="B80" s="16"/>
      <c r="C80" s="13" t="str">
        <f aca="false">IFERROR(IF(B80="","",VLOOKUP(B80,Inventory!A:B,2,FALSE())),"")</f>
        <v/>
      </c>
      <c r="D80" s="16"/>
      <c r="E80" s="16"/>
      <c r="F80" s="15"/>
      <c r="G80" s="15"/>
      <c r="H80" s="17" t="str">
        <f aca="true">IF(AND(A80&lt;&gt;"",G80="",F80&lt;&gt;"",F80&lt;TODAY()),TODAY()-F80,"")</f>
        <v/>
      </c>
      <c r="I80" s="16"/>
    </row>
    <row r="81" customFormat="false" ht="15" hidden="false" customHeight="false" outlineLevel="0" collapsed="false">
      <c r="A81" s="15"/>
      <c r="B81" s="16"/>
      <c r="C81" s="13" t="str">
        <f aca="false">IFERROR(IF(B81="","",VLOOKUP(B81,Inventory!A:B,2,FALSE())),"")</f>
        <v/>
      </c>
      <c r="D81" s="16"/>
      <c r="E81" s="16"/>
      <c r="F81" s="15"/>
      <c r="G81" s="15"/>
      <c r="H81" s="17" t="str">
        <f aca="true">IF(AND(A81&lt;&gt;"",G81="",F81&lt;&gt;"",F81&lt;TODAY()),TODAY()-F81,"")</f>
        <v/>
      </c>
      <c r="I81" s="16"/>
    </row>
    <row r="82" customFormat="false" ht="15" hidden="false" customHeight="false" outlineLevel="0" collapsed="false">
      <c r="A82" s="15"/>
      <c r="B82" s="16"/>
      <c r="C82" s="13" t="str">
        <f aca="false">IFERROR(IF(B82="","",VLOOKUP(B82,Inventory!A:B,2,FALSE())),"")</f>
        <v/>
      </c>
      <c r="D82" s="16"/>
      <c r="E82" s="16"/>
      <c r="F82" s="15"/>
      <c r="G82" s="15"/>
      <c r="H82" s="17" t="str">
        <f aca="true">IF(AND(A82&lt;&gt;"",G82="",F82&lt;&gt;"",F82&lt;TODAY()),TODAY()-F82,"")</f>
        <v/>
      </c>
      <c r="I82" s="16"/>
    </row>
    <row r="83" customFormat="false" ht="15" hidden="false" customHeight="false" outlineLevel="0" collapsed="false">
      <c r="A83" s="15"/>
      <c r="B83" s="16"/>
      <c r="C83" s="13" t="str">
        <f aca="false">IFERROR(IF(B83="","",VLOOKUP(B83,Inventory!A:B,2,FALSE())),"")</f>
        <v/>
      </c>
      <c r="D83" s="16"/>
      <c r="E83" s="16"/>
      <c r="F83" s="15"/>
      <c r="G83" s="15"/>
      <c r="H83" s="17" t="str">
        <f aca="true">IF(AND(A83&lt;&gt;"",G83="",F83&lt;&gt;"",F83&lt;TODAY()),TODAY()-F83,"")</f>
        <v/>
      </c>
      <c r="I83" s="16"/>
    </row>
    <row r="84" customFormat="false" ht="15" hidden="false" customHeight="false" outlineLevel="0" collapsed="false">
      <c r="A84" s="15"/>
      <c r="B84" s="16"/>
      <c r="C84" s="13" t="str">
        <f aca="false">IFERROR(IF(B84="","",VLOOKUP(B84,Inventory!A:B,2,FALSE())),"")</f>
        <v/>
      </c>
      <c r="D84" s="16"/>
      <c r="E84" s="16"/>
      <c r="F84" s="15"/>
      <c r="G84" s="15"/>
      <c r="H84" s="17" t="str">
        <f aca="true">IF(AND(A84&lt;&gt;"",G84="",F84&lt;&gt;"",F84&lt;TODAY()),TODAY()-F84,"")</f>
        <v/>
      </c>
      <c r="I84" s="16"/>
    </row>
    <row r="85" customFormat="false" ht="15" hidden="false" customHeight="false" outlineLevel="0" collapsed="false">
      <c r="A85" s="15"/>
      <c r="B85" s="16"/>
      <c r="C85" s="13" t="str">
        <f aca="false">IFERROR(IF(B85="","",VLOOKUP(B85,Inventory!A:B,2,FALSE())),"")</f>
        <v/>
      </c>
      <c r="D85" s="16"/>
      <c r="E85" s="16"/>
      <c r="F85" s="15"/>
      <c r="G85" s="15"/>
      <c r="H85" s="17" t="str">
        <f aca="true">IF(AND(A85&lt;&gt;"",G85="",F85&lt;&gt;"",F85&lt;TODAY()),TODAY()-F85,"")</f>
        <v/>
      </c>
      <c r="I85" s="16"/>
    </row>
    <row r="86" customFormat="false" ht="15" hidden="false" customHeight="false" outlineLevel="0" collapsed="false">
      <c r="A86" s="15"/>
      <c r="B86" s="16"/>
      <c r="C86" s="13" t="str">
        <f aca="false">IFERROR(IF(B86="","",VLOOKUP(B86,Inventory!A:B,2,FALSE())),"")</f>
        <v/>
      </c>
      <c r="D86" s="16"/>
      <c r="E86" s="16"/>
      <c r="F86" s="15"/>
      <c r="G86" s="15"/>
      <c r="H86" s="17" t="str">
        <f aca="true">IF(AND(A86&lt;&gt;"",G86="",F86&lt;&gt;"",F86&lt;TODAY()),TODAY()-F86,"")</f>
        <v/>
      </c>
      <c r="I86" s="16"/>
    </row>
    <row r="87" customFormat="false" ht="15" hidden="false" customHeight="false" outlineLevel="0" collapsed="false">
      <c r="A87" s="15"/>
      <c r="B87" s="16"/>
      <c r="C87" s="13" t="str">
        <f aca="false">IFERROR(IF(B87="","",VLOOKUP(B87,Inventory!A:B,2,FALSE())),"")</f>
        <v/>
      </c>
      <c r="D87" s="16"/>
      <c r="E87" s="16"/>
      <c r="F87" s="15"/>
      <c r="G87" s="15"/>
      <c r="H87" s="17" t="str">
        <f aca="true">IF(AND(A87&lt;&gt;"",G87="",F87&lt;&gt;"",F87&lt;TODAY()),TODAY()-F87,"")</f>
        <v/>
      </c>
      <c r="I87" s="16"/>
    </row>
    <row r="88" customFormat="false" ht="15" hidden="false" customHeight="false" outlineLevel="0" collapsed="false">
      <c r="A88" s="15"/>
      <c r="B88" s="16"/>
      <c r="C88" s="13" t="str">
        <f aca="false">IFERROR(IF(B88="","",VLOOKUP(B88,Inventory!A:B,2,FALSE())),"")</f>
        <v/>
      </c>
      <c r="D88" s="16"/>
      <c r="E88" s="16"/>
      <c r="F88" s="15"/>
      <c r="G88" s="15"/>
      <c r="H88" s="17" t="str">
        <f aca="true">IF(AND(A88&lt;&gt;"",G88="",F88&lt;&gt;"",F88&lt;TODAY()),TODAY()-F88,"")</f>
        <v/>
      </c>
      <c r="I88" s="16"/>
    </row>
    <row r="89" customFormat="false" ht="15" hidden="false" customHeight="false" outlineLevel="0" collapsed="false">
      <c r="A89" s="15"/>
      <c r="B89" s="16"/>
      <c r="C89" s="13" t="str">
        <f aca="false">IFERROR(IF(B89="","",VLOOKUP(B89,Inventory!A:B,2,FALSE())),"")</f>
        <v/>
      </c>
      <c r="D89" s="16"/>
      <c r="E89" s="16"/>
      <c r="F89" s="15"/>
      <c r="G89" s="15"/>
      <c r="H89" s="17" t="str">
        <f aca="true">IF(AND(A89&lt;&gt;"",G89="",F89&lt;&gt;"",F89&lt;TODAY()),TODAY()-F89,"")</f>
        <v/>
      </c>
      <c r="I89" s="16"/>
    </row>
    <row r="90" customFormat="false" ht="15" hidden="false" customHeight="false" outlineLevel="0" collapsed="false">
      <c r="A90" s="15"/>
      <c r="B90" s="16"/>
      <c r="C90" s="13" t="str">
        <f aca="false">IFERROR(IF(B90="","",VLOOKUP(B90,Inventory!A:B,2,FALSE())),"")</f>
        <v/>
      </c>
      <c r="D90" s="16"/>
      <c r="E90" s="16"/>
      <c r="F90" s="15"/>
      <c r="G90" s="15"/>
      <c r="H90" s="17" t="str">
        <f aca="true">IF(AND(A90&lt;&gt;"",G90="",F90&lt;&gt;"",F90&lt;TODAY()),TODAY()-F90,"")</f>
        <v/>
      </c>
      <c r="I90" s="16"/>
    </row>
    <row r="91" customFormat="false" ht="15" hidden="false" customHeight="false" outlineLevel="0" collapsed="false">
      <c r="A91" s="15"/>
      <c r="B91" s="16"/>
      <c r="C91" s="13" t="str">
        <f aca="false">IFERROR(IF(B91="","",VLOOKUP(B91,Inventory!A:B,2,FALSE())),"")</f>
        <v/>
      </c>
      <c r="D91" s="16"/>
      <c r="E91" s="16"/>
      <c r="F91" s="15"/>
      <c r="G91" s="15"/>
      <c r="H91" s="17" t="str">
        <f aca="true">IF(AND(A91&lt;&gt;"",G91="",F91&lt;&gt;"",F91&lt;TODAY()),TODAY()-F91,"")</f>
        <v/>
      </c>
      <c r="I91" s="16"/>
    </row>
    <row r="92" customFormat="false" ht="15" hidden="false" customHeight="false" outlineLevel="0" collapsed="false">
      <c r="A92" s="15"/>
      <c r="B92" s="16"/>
      <c r="C92" s="13" t="str">
        <f aca="false">IFERROR(IF(B92="","",VLOOKUP(B92,Inventory!A:B,2,FALSE())),"")</f>
        <v/>
      </c>
      <c r="D92" s="16"/>
      <c r="E92" s="16"/>
      <c r="F92" s="15"/>
      <c r="G92" s="15"/>
      <c r="H92" s="17" t="str">
        <f aca="true">IF(AND(A92&lt;&gt;"",G92="",F92&lt;&gt;"",F92&lt;TODAY()),TODAY()-F92,"")</f>
        <v/>
      </c>
      <c r="I92" s="16"/>
    </row>
    <row r="93" customFormat="false" ht="15" hidden="false" customHeight="false" outlineLevel="0" collapsed="false">
      <c r="A93" s="15"/>
      <c r="B93" s="16"/>
      <c r="C93" s="13" t="str">
        <f aca="false">IFERROR(IF(B93="","",VLOOKUP(B93,Inventory!A:B,2,FALSE())),"")</f>
        <v/>
      </c>
      <c r="D93" s="16"/>
      <c r="E93" s="16"/>
      <c r="F93" s="15"/>
      <c r="G93" s="15"/>
      <c r="H93" s="17" t="str">
        <f aca="true">IF(AND(A93&lt;&gt;"",G93="",F93&lt;&gt;"",F93&lt;TODAY()),TODAY()-F93,"")</f>
        <v/>
      </c>
      <c r="I93" s="16"/>
    </row>
    <row r="94" customFormat="false" ht="15" hidden="false" customHeight="false" outlineLevel="0" collapsed="false">
      <c r="A94" s="15"/>
      <c r="B94" s="16"/>
      <c r="C94" s="13" t="str">
        <f aca="false">IFERROR(IF(B94="","",VLOOKUP(B94,Inventory!A:B,2,FALSE())),"")</f>
        <v/>
      </c>
      <c r="D94" s="16"/>
      <c r="E94" s="16"/>
      <c r="F94" s="15"/>
      <c r="G94" s="15"/>
      <c r="H94" s="17" t="str">
        <f aca="true">IF(AND(A94&lt;&gt;"",G94="",F94&lt;&gt;"",F94&lt;TODAY()),TODAY()-F94,"")</f>
        <v/>
      </c>
      <c r="I94" s="16"/>
    </row>
    <row r="95" customFormat="false" ht="15" hidden="false" customHeight="false" outlineLevel="0" collapsed="false">
      <c r="A95" s="15"/>
      <c r="B95" s="16"/>
      <c r="C95" s="13" t="str">
        <f aca="false">IFERROR(IF(B95="","",VLOOKUP(B95,Inventory!A:B,2,FALSE())),"")</f>
        <v/>
      </c>
      <c r="D95" s="16"/>
      <c r="E95" s="16"/>
      <c r="F95" s="15"/>
      <c r="G95" s="15"/>
      <c r="H95" s="17" t="str">
        <f aca="true">IF(AND(A95&lt;&gt;"",G95="",F95&lt;&gt;"",F95&lt;TODAY()),TODAY()-F95,"")</f>
        <v/>
      </c>
      <c r="I95" s="16"/>
    </row>
    <row r="96" customFormat="false" ht="15" hidden="false" customHeight="false" outlineLevel="0" collapsed="false">
      <c r="A96" s="15"/>
      <c r="B96" s="16"/>
      <c r="C96" s="13" t="str">
        <f aca="false">IFERROR(IF(B96="","",VLOOKUP(B96,Inventory!A:B,2,FALSE())),"")</f>
        <v/>
      </c>
      <c r="D96" s="16"/>
      <c r="E96" s="16"/>
      <c r="F96" s="15"/>
      <c r="G96" s="15"/>
      <c r="H96" s="17" t="str">
        <f aca="true">IF(AND(A96&lt;&gt;"",G96="",F96&lt;&gt;"",F96&lt;TODAY()),TODAY()-F96,"")</f>
        <v/>
      </c>
      <c r="I96" s="16"/>
    </row>
    <row r="97" customFormat="false" ht="15" hidden="false" customHeight="false" outlineLevel="0" collapsed="false">
      <c r="A97" s="15"/>
      <c r="B97" s="16"/>
      <c r="C97" s="13" t="str">
        <f aca="false">IFERROR(IF(B97="","",VLOOKUP(B97,Inventory!A:B,2,FALSE())),"")</f>
        <v/>
      </c>
      <c r="D97" s="16"/>
      <c r="E97" s="16"/>
      <c r="F97" s="15"/>
      <c r="G97" s="15"/>
      <c r="H97" s="17" t="str">
        <f aca="true">IF(AND(A97&lt;&gt;"",G97="",F97&lt;&gt;"",F97&lt;TODAY()),TODAY()-F97,"")</f>
        <v/>
      </c>
      <c r="I97" s="16"/>
    </row>
    <row r="98" customFormat="false" ht="15" hidden="false" customHeight="false" outlineLevel="0" collapsed="false">
      <c r="A98" s="15"/>
      <c r="B98" s="16"/>
      <c r="C98" s="13" t="str">
        <f aca="false">IFERROR(IF(B98="","",VLOOKUP(B98,Inventory!A:B,2,FALSE())),"")</f>
        <v/>
      </c>
      <c r="D98" s="16"/>
      <c r="E98" s="16"/>
      <c r="F98" s="15"/>
      <c r="G98" s="15"/>
      <c r="H98" s="17" t="str">
        <f aca="true">IF(AND(A98&lt;&gt;"",G98="",F98&lt;&gt;"",F98&lt;TODAY()),TODAY()-F98,"")</f>
        <v/>
      </c>
      <c r="I98" s="16"/>
    </row>
    <row r="99" customFormat="false" ht="15" hidden="false" customHeight="false" outlineLevel="0" collapsed="false">
      <c r="A99" s="15"/>
      <c r="B99" s="16"/>
      <c r="C99" s="13" t="str">
        <f aca="false">IFERROR(IF(B99="","",VLOOKUP(B99,Inventory!A:B,2,FALSE())),"")</f>
        <v/>
      </c>
      <c r="D99" s="16"/>
      <c r="E99" s="16"/>
      <c r="F99" s="15"/>
      <c r="G99" s="15"/>
      <c r="H99" s="17" t="str">
        <f aca="true">IF(AND(A99&lt;&gt;"",G99="",F99&lt;&gt;"",F99&lt;TODAY()),TODAY()-F99,"")</f>
        <v/>
      </c>
      <c r="I99" s="16"/>
    </row>
    <row r="100" customFormat="false" ht="15" hidden="false" customHeight="false" outlineLevel="0" collapsed="false">
      <c r="A100" s="15"/>
      <c r="B100" s="16"/>
      <c r="C100" s="13" t="str">
        <f aca="false">IFERROR(IF(B100="","",VLOOKUP(B100,Inventory!A:B,2,FALSE())),"")</f>
        <v/>
      </c>
      <c r="D100" s="16"/>
      <c r="E100" s="16"/>
      <c r="F100" s="15"/>
      <c r="G100" s="15"/>
      <c r="H100" s="17" t="str">
        <f aca="true">IF(AND(A100&lt;&gt;"",G100="",F100&lt;&gt;"",F100&lt;TODAY()),TODAY()-F100,"")</f>
        <v/>
      </c>
      <c r="I100" s="16"/>
    </row>
    <row r="101" customFormat="false" ht="15" hidden="false" customHeight="false" outlineLevel="0" collapsed="false">
      <c r="A101" s="15"/>
      <c r="B101" s="16"/>
      <c r="C101" s="13" t="str">
        <f aca="false">IFERROR(IF(B101="","",VLOOKUP(B101,Inventory!A:B,2,FALSE())),"")</f>
        <v/>
      </c>
      <c r="D101" s="16"/>
      <c r="E101" s="16"/>
      <c r="F101" s="15"/>
      <c r="G101" s="15"/>
      <c r="H101" s="17" t="str">
        <f aca="true">IF(AND(A101&lt;&gt;"",G101="",F101&lt;&gt;"",F101&lt;TODAY()),TODAY()-F101,"")</f>
        <v/>
      </c>
      <c r="I101" s="16"/>
    </row>
    <row r="102" customFormat="false" ht="15" hidden="false" customHeight="false" outlineLevel="0" collapsed="false">
      <c r="A102" s="15"/>
      <c r="B102" s="16"/>
      <c r="C102" s="13" t="str">
        <f aca="false">IFERROR(IF(B102="","",VLOOKUP(B102,Inventory!A:B,2,FALSE())),"")</f>
        <v/>
      </c>
      <c r="D102" s="16"/>
      <c r="E102" s="16"/>
      <c r="F102" s="15"/>
      <c r="G102" s="15"/>
      <c r="H102" s="17" t="str">
        <f aca="true">IF(AND(A102&lt;&gt;"",G102="",F102&lt;&gt;"",F102&lt;TODAY()),TODAY()-F102,"")</f>
        <v/>
      </c>
      <c r="I102" s="16"/>
    </row>
    <row r="103" customFormat="false" ht="15" hidden="false" customHeight="false" outlineLevel="0" collapsed="false">
      <c r="A103" s="15"/>
      <c r="B103" s="16"/>
      <c r="C103" s="13" t="str">
        <f aca="false">IFERROR(IF(B103="","",VLOOKUP(B103,Inventory!A:B,2,FALSE())),"")</f>
        <v/>
      </c>
      <c r="D103" s="16"/>
      <c r="E103" s="16"/>
      <c r="F103" s="15"/>
      <c r="G103" s="15"/>
      <c r="H103" s="17" t="str">
        <f aca="true">IF(AND(A103&lt;&gt;"",G103="",F103&lt;&gt;"",F103&lt;TODAY()),TODAY()-F103,"")</f>
        <v/>
      </c>
      <c r="I103" s="16"/>
    </row>
    <row r="104" customFormat="false" ht="15" hidden="false" customHeight="false" outlineLevel="0" collapsed="false">
      <c r="A104" s="15"/>
      <c r="B104" s="16"/>
      <c r="C104" s="13" t="str">
        <f aca="false">IFERROR(IF(B104="","",VLOOKUP(B104,Inventory!A:B,2,FALSE())),"")</f>
        <v/>
      </c>
      <c r="D104" s="16"/>
      <c r="E104" s="16"/>
      <c r="F104" s="15"/>
      <c r="G104" s="15"/>
      <c r="H104" s="17" t="str">
        <f aca="true">IF(AND(A104&lt;&gt;"",G104="",F104&lt;&gt;"",F104&lt;TODAY()),TODAY()-F104,"")</f>
        <v/>
      </c>
      <c r="I104" s="16"/>
    </row>
    <row r="105" customFormat="false" ht="15" hidden="false" customHeight="false" outlineLevel="0" collapsed="false">
      <c r="A105" s="15"/>
      <c r="B105" s="16"/>
      <c r="C105" s="13" t="str">
        <f aca="false">IFERROR(IF(B105="","",VLOOKUP(B105,Inventory!A:B,2,FALSE())),"")</f>
        <v/>
      </c>
      <c r="D105" s="16"/>
      <c r="E105" s="16"/>
      <c r="F105" s="15"/>
      <c r="G105" s="15"/>
      <c r="H105" s="17" t="str">
        <f aca="true">IF(AND(A105&lt;&gt;"",G105="",F105&lt;&gt;"",F105&lt;TODAY()),TODAY()-F105,"")</f>
        <v/>
      </c>
      <c r="I105" s="16"/>
    </row>
    <row r="106" customFormat="false" ht="15" hidden="false" customHeight="false" outlineLevel="0" collapsed="false">
      <c r="A106" s="15"/>
      <c r="B106" s="16"/>
      <c r="C106" s="13" t="str">
        <f aca="false">IFERROR(IF(B106="","",VLOOKUP(B106,Inventory!A:B,2,FALSE())),"")</f>
        <v/>
      </c>
      <c r="D106" s="16"/>
      <c r="E106" s="16"/>
      <c r="F106" s="15"/>
      <c r="G106" s="15"/>
      <c r="H106" s="17" t="str">
        <f aca="true">IF(AND(A106&lt;&gt;"",G106="",F106&lt;&gt;"",F106&lt;TODAY()),TODAY()-F106,"")</f>
        <v/>
      </c>
      <c r="I106" s="16"/>
    </row>
    <row r="107" customFormat="false" ht="15" hidden="false" customHeight="false" outlineLevel="0" collapsed="false">
      <c r="A107" s="15"/>
      <c r="B107" s="16"/>
      <c r="C107" s="13" t="str">
        <f aca="false">IFERROR(IF(B107="","",VLOOKUP(B107,Inventory!A:B,2,FALSE())),"")</f>
        <v/>
      </c>
      <c r="D107" s="16"/>
      <c r="E107" s="16"/>
      <c r="F107" s="15"/>
      <c r="G107" s="15"/>
      <c r="H107" s="17" t="str">
        <f aca="true">IF(AND(A107&lt;&gt;"",G107="",F107&lt;&gt;"",F107&lt;TODAY()),TODAY()-F107,"")</f>
        <v/>
      </c>
      <c r="I107" s="16"/>
    </row>
    <row r="108" customFormat="false" ht="15" hidden="false" customHeight="false" outlineLevel="0" collapsed="false">
      <c r="A108" s="15"/>
      <c r="B108" s="16"/>
      <c r="C108" s="13" t="str">
        <f aca="false">IFERROR(IF(B108="","",VLOOKUP(B108,Inventory!A:B,2,FALSE())),"")</f>
        <v/>
      </c>
      <c r="D108" s="16"/>
      <c r="E108" s="16"/>
      <c r="F108" s="15"/>
      <c r="G108" s="15"/>
      <c r="H108" s="17" t="str">
        <f aca="true">IF(AND(A108&lt;&gt;"",G108="",F108&lt;&gt;"",F108&lt;TODAY()),TODAY()-F108,"")</f>
        <v/>
      </c>
      <c r="I108" s="16"/>
    </row>
    <row r="109" customFormat="false" ht="15" hidden="false" customHeight="false" outlineLevel="0" collapsed="false">
      <c r="A109" s="15"/>
      <c r="B109" s="16"/>
      <c r="C109" s="13" t="str">
        <f aca="false">IFERROR(IF(B109="","",VLOOKUP(B109,Inventory!A:B,2,FALSE())),"")</f>
        <v/>
      </c>
      <c r="D109" s="16"/>
      <c r="E109" s="16"/>
      <c r="F109" s="15"/>
      <c r="G109" s="15"/>
      <c r="H109" s="17" t="str">
        <f aca="true">IF(AND(A109&lt;&gt;"",G109="",F109&lt;&gt;"",F109&lt;TODAY()),TODAY()-F109,"")</f>
        <v/>
      </c>
      <c r="I109" s="16"/>
    </row>
    <row r="110" customFormat="false" ht="15" hidden="false" customHeight="false" outlineLevel="0" collapsed="false">
      <c r="A110" s="15"/>
      <c r="B110" s="16"/>
      <c r="C110" s="13" t="str">
        <f aca="false">IFERROR(IF(B110="","",VLOOKUP(B110,Inventory!A:B,2,FALSE())),"")</f>
        <v/>
      </c>
      <c r="D110" s="16"/>
      <c r="E110" s="16"/>
      <c r="F110" s="15"/>
      <c r="G110" s="15"/>
      <c r="H110" s="17" t="str">
        <f aca="true">IF(AND(A110&lt;&gt;"",G110="",F110&lt;&gt;"",F110&lt;TODAY()),TODAY()-F110,"")</f>
        <v/>
      </c>
      <c r="I110" s="16"/>
    </row>
    <row r="111" customFormat="false" ht="15" hidden="false" customHeight="false" outlineLevel="0" collapsed="false">
      <c r="A111" s="15"/>
      <c r="B111" s="16"/>
      <c r="C111" s="13" t="str">
        <f aca="false">IFERROR(IF(B111="","",VLOOKUP(B111,Inventory!A:B,2,FALSE())),"")</f>
        <v/>
      </c>
      <c r="D111" s="16"/>
      <c r="E111" s="16"/>
      <c r="F111" s="15"/>
      <c r="G111" s="15"/>
      <c r="H111" s="17" t="str">
        <f aca="true">IF(AND(A111&lt;&gt;"",G111="",F111&lt;&gt;"",F111&lt;TODAY()),TODAY()-F111,"")</f>
        <v/>
      </c>
      <c r="I111" s="16"/>
    </row>
    <row r="112" customFormat="false" ht="15" hidden="false" customHeight="false" outlineLevel="0" collapsed="false">
      <c r="A112" s="15"/>
      <c r="B112" s="16"/>
      <c r="C112" s="13" t="str">
        <f aca="false">IFERROR(IF(B112="","",VLOOKUP(B112,Inventory!A:B,2,FALSE())),"")</f>
        <v/>
      </c>
      <c r="D112" s="16"/>
      <c r="E112" s="16"/>
      <c r="F112" s="15"/>
      <c r="G112" s="15"/>
      <c r="H112" s="17" t="str">
        <f aca="true">IF(AND(A112&lt;&gt;"",G112="",F112&lt;&gt;"",F112&lt;TODAY()),TODAY()-F112,"")</f>
        <v/>
      </c>
      <c r="I112" s="16"/>
    </row>
    <row r="113" customFormat="false" ht="15" hidden="false" customHeight="false" outlineLevel="0" collapsed="false">
      <c r="A113" s="15"/>
      <c r="B113" s="16"/>
      <c r="C113" s="13" t="str">
        <f aca="false">IFERROR(IF(B113="","",VLOOKUP(B113,Inventory!A:B,2,FALSE())),"")</f>
        <v/>
      </c>
      <c r="D113" s="16"/>
      <c r="E113" s="16"/>
      <c r="F113" s="15"/>
      <c r="G113" s="15"/>
      <c r="H113" s="17" t="str">
        <f aca="true">IF(AND(A113&lt;&gt;"",G113="",F113&lt;&gt;"",F113&lt;TODAY()),TODAY()-F113,"")</f>
        <v/>
      </c>
      <c r="I113" s="16"/>
    </row>
    <row r="114" customFormat="false" ht="15" hidden="false" customHeight="false" outlineLevel="0" collapsed="false">
      <c r="A114" s="15"/>
      <c r="B114" s="16"/>
      <c r="C114" s="13" t="str">
        <f aca="false">IFERROR(IF(B114="","",VLOOKUP(B114,Inventory!A:B,2,FALSE())),"")</f>
        <v/>
      </c>
      <c r="D114" s="16"/>
      <c r="E114" s="16"/>
      <c r="F114" s="15"/>
      <c r="G114" s="15"/>
      <c r="H114" s="17" t="str">
        <f aca="true">IF(AND(A114&lt;&gt;"",G114="",F114&lt;&gt;"",F114&lt;TODAY()),TODAY()-F114,"")</f>
        <v/>
      </c>
      <c r="I114" s="16"/>
    </row>
    <row r="115" customFormat="false" ht="15" hidden="false" customHeight="false" outlineLevel="0" collapsed="false">
      <c r="A115" s="15"/>
      <c r="B115" s="16"/>
      <c r="C115" s="13" t="str">
        <f aca="false">IFERROR(IF(B115="","",VLOOKUP(B115,Inventory!A:B,2,FALSE())),"")</f>
        <v/>
      </c>
      <c r="D115" s="16"/>
      <c r="E115" s="16"/>
      <c r="F115" s="15"/>
      <c r="G115" s="15"/>
      <c r="H115" s="17" t="str">
        <f aca="true">IF(AND(A115&lt;&gt;"",G115="",F115&lt;&gt;"",F115&lt;TODAY()),TODAY()-F115,"")</f>
        <v/>
      </c>
      <c r="I115" s="16"/>
    </row>
    <row r="116" customFormat="false" ht="15" hidden="false" customHeight="false" outlineLevel="0" collapsed="false">
      <c r="A116" s="15"/>
      <c r="B116" s="16"/>
      <c r="C116" s="13" t="str">
        <f aca="false">IFERROR(IF(B116="","",VLOOKUP(B116,Inventory!A:B,2,FALSE())),"")</f>
        <v/>
      </c>
      <c r="D116" s="16"/>
      <c r="E116" s="16"/>
      <c r="F116" s="15"/>
      <c r="G116" s="15"/>
      <c r="H116" s="17" t="str">
        <f aca="true">IF(AND(A116&lt;&gt;"",G116="",F116&lt;&gt;"",F116&lt;TODAY()),TODAY()-F116,"")</f>
        <v/>
      </c>
      <c r="I116" s="16"/>
    </row>
    <row r="117" customFormat="false" ht="15" hidden="false" customHeight="false" outlineLevel="0" collapsed="false">
      <c r="A117" s="15"/>
      <c r="B117" s="16"/>
      <c r="C117" s="13" t="str">
        <f aca="false">IFERROR(IF(B117="","",VLOOKUP(B117,Inventory!A:B,2,FALSE())),"")</f>
        <v/>
      </c>
      <c r="D117" s="16"/>
      <c r="E117" s="16"/>
      <c r="F117" s="15"/>
      <c r="G117" s="15"/>
      <c r="H117" s="17" t="str">
        <f aca="true">IF(AND(A117&lt;&gt;"",G117="",F117&lt;&gt;"",F117&lt;TODAY()),TODAY()-F117,"")</f>
        <v/>
      </c>
      <c r="I117" s="16"/>
    </row>
    <row r="118" customFormat="false" ht="15" hidden="false" customHeight="false" outlineLevel="0" collapsed="false">
      <c r="A118" s="15"/>
      <c r="B118" s="16"/>
      <c r="C118" s="13" t="str">
        <f aca="false">IFERROR(IF(B118="","",VLOOKUP(B118,Inventory!A:B,2,FALSE())),"")</f>
        <v/>
      </c>
      <c r="D118" s="16"/>
      <c r="E118" s="16"/>
      <c r="F118" s="15"/>
      <c r="G118" s="15"/>
      <c r="H118" s="17" t="str">
        <f aca="true">IF(AND(A118&lt;&gt;"",G118="",F118&lt;&gt;"",F118&lt;TODAY()),TODAY()-F118,"")</f>
        <v/>
      </c>
      <c r="I118" s="16"/>
    </row>
    <row r="119" customFormat="false" ht="15" hidden="false" customHeight="false" outlineLevel="0" collapsed="false">
      <c r="A119" s="15"/>
      <c r="B119" s="16"/>
      <c r="C119" s="13" t="str">
        <f aca="false">IFERROR(IF(B119="","",VLOOKUP(B119,Inventory!A:B,2,FALSE())),"")</f>
        <v/>
      </c>
      <c r="D119" s="16"/>
      <c r="E119" s="16"/>
      <c r="F119" s="15"/>
      <c r="G119" s="15"/>
      <c r="H119" s="17" t="str">
        <f aca="true">IF(AND(A119&lt;&gt;"",G119="",F119&lt;&gt;"",F119&lt;TODAY()),TODAY()-F119,"")</f>
        <v/>
      </c>
      <c r="I119" s="16"/>
    </row>
    <row r="120" customFormat="false" ht="15" hidden="false" customHeight="false" outlineLevel="0" collapsed="false">
      <c r="A120" s="15"/>
      <c r="B120" s="16"/>
      <c r="C120" s="13" t="str">
        <f aca="false">IFERROR(IF(B120="","",VLOOKUP(B120,Inventory!A:B,2,FALSE())),"")</f>
        <v/>
      </c>
      <c r="D120" s="16"/>
      <c r="E120" s="16"/>
      <c r="F120" s="15"/>
      <c r="G120" s="15"/>
      <c r="H120" s="17" t="str">
        <f aca="true">IF(AND(A120&lt;&gt;"",G120="",F120&lt;&gt;"",F120&lt;TODAY()),TODAY()-F120,"")</f>
        <v/>
      </c>
      <c r="I120" s="16"/>
    </row>
    <row r="121" customFormat="false" ht="15" hidden="false" customHeight="false" outlineLevel="0" collapsed="false">
      <c r="A121" s="15"/>
      <c r="B121" s="16"/>
      <c r="C121" s="13" t="str">
        <f aca="false">IFERROR(IF(B121="","",VLOOKUP(B121,Inventory!A:B,2,FALSE())),"")</f>
        <v/>
      </c>
      <c r="D121" s="16"/>
      <c r="E121" s="16"/>
      <c r="F121" s="15"/>
      <c r="G121" s="15"/>
      <c r="H121" s="17" t="str">
        <f aca="true">IF(AND(A121&lt;&gt;"",G121="",F121&lt;&gt;"",F121&lt;TODAY()),TODAY()-F121,"")</f>
        <v/>
      </c>
      <c r="I121" s="16"/>
    </row>
    <row r="122" customFormat="false" ht="15" hidden="false" customHeight="false" outlineLevel="0" collapsed="false">
      <c r="A122" s="15"/>
      <c r="B122" s="16"/>
      <c r="C122" s="13" t="str">
        <f aca="false">IFERROR(IF(B122="","",VLOOKUP(B122,Inventory!A:B,2,FALSE())),"")</f>
        <v/>
      </c>
      <c r="D122" s="16"/>
      <c r="E122" s="16"/>
      <c r="F122" s="15"/>
      <c r="G122" s="15"/>
      <c r="H122" s="17" t="str">
        <f aca="true">IF(AND(A122&lt;&gt;"",G122="",F122&lt;&gt;"",F122&lt;TODAY()),TODAY()-F122,"")</f>
        <v/>
      </c>
      <c r="I122" s="16"/>
    </row>
    <row r="123" customFormat="false" ht="15" hidden="false" customHeight="false" outlineLevel="0" collapsed="false">
      <c r="A123" s="15"/>
      <c r="B123" s="16"/>
      <c r="C123" s="13" t="str">
        <f aca="false">IFERROR(IF(B123="","",VLOOKUP(B123,Inventory!A:B,2,FALSE())),"")</f>
        <v/>
      </c>
      <c r="D123" s="16"/>
      <c r="E123" s="16"/>
      <c r="F123" s="15"/>
      <c r="G123" s="15"/>
      <c r="H123" s="17" t="str">
        <f aca="true">IF(AND(A123&lt;&gt;"",G123="",F123&lt;&gt;"",F123&lt;TODAY()),TODAY()-F123,"")</f>
        <v/>
      </c>
      <c r="I123" s="16"/>
    </row>
    <row r="124" customFormat="false" ht="15" hidden="false" customHeight="false" outlineLevel="0" collapsed="false">
      <c r="A124" s="15"/>
      <c r="B124" s="16"/>
      <c r="C124" s="13" t="str">
        <f aca="false">IFERROR(IF(B124="","",VLOOKUP(B124,Inventory!A:B,2,FALSE())),"")</f>
        <v/>
      </c>
      <c r="D124" s="16"/>
      <c r="E124" s="16"/>
      <c r="F124" s="15"/>
      <c r="G124" s="15"/>
      <c r="H124" s="17" t="str">
        <f aca="true">IF(AND(A124&lt;&gt;"",G124="",F124&lt;&gt;"",F124&lt;TODAY()),TODAY()-F124,"")</f>
        <v/>
      </c>
      <c r="I124" s="16"/>
    </row>
    <row r="125" customFormat="false" ht="15" hidden="false" customHeight="false" outlineLevel="0" collapsed="false">
      <c r="A125" s="15"/>
      <c r="B125" s="16"/>
      <c r="C125" s="13" t="str">
        <f aca="false">IFERROR(IF(B125="","",VLOOKUP(B125,Inventory!A:B,2,FALSE())),"")</f>
        <v/>
      </c>
      <c r="D125" s="16"/>
      <c r="E125" s="16"/>
      <c r="F125" s="15"/>
      <c r="G125" s="15"/>
      <c r="H125" s="17" t="str">
        <f aca="true">IF(AND(A125&lt;&gt;"",G125="",F125&lt;&gt;"",F125&lt;TODAY()),TODAY()-F125,"")</f>
        <v/>
      </c>
      <c r="I125" s="16"/>
    </row>
    <row r="126" customFormat="false" ht="15" hidden="false" customHeight="false" outlineLevel="0" collapsed="false">
      <c r="A126" s="15"/>
      <c r="B126" s="16"/>
      <c r="C126" s="13" t="str">
        <f aca="false">IFERROR(IF(B126="","",VLOOKUP(B126,Inventory!A:B,2,FALSE())),"")</f>
        <v/>
      </c>
      <c r="D126" s="16"/>
      <c r="E126" s="16"/>
      <c r="F126" s="15"/>
      <c r="G126" s="15"/>
      <c r="H126" s="17" t="str">
        <f aca="true">IF(AND(A126&lt;&gt;"",G126="",F126&lt;&gt;"",F126&lt;TODAY()),TODAY()-F126,"")</f>
        <v/>
      </c>
      <c r="I126" s="16"/>
    </row>
    <row r="127" customFormat="false" ht="15" hidden="false" customHeight="false" outlineLevel="0" collapsed="false">
      <c r="A127" s="15"/>
      <c r="B127" s="16"/>
      <c r="C127" s="13" t="str">
        <f aca="false">IFERROR(IF(B127="","",VLOOKUP(B127,Inventory!A:B,2,FALSE())),"")</f>
        <v/>
      </c>
      <c r="D127" s="16"/>
      <c r="E127" s="16"/>
      <c r="F127" s="15"/>
      <c r="G127" s="15"/>
      <c r="H127" s="17" t="str">
        <f aca="true">IF(AND(A127&lt;&gt;"",G127="",F127&lt;&gt;"",F127&lt;TODAY()),TODAY()-F127,"")</f>
        <v/>
      </c>
      <c r="I127" s="16"/>
    </row>
    <row r="128" customFormat="false" ht="15" hidden="false" customHeight="false" outlineLevel="0" collapsed="false">
      <c r="A128" s="15"/>
      <c r="B128" s="16"/>
      <c r="C128" s="13" t="str">
        <f aca="false">IFERROR(IF(B128="","",VLOOKUP(B128,Inventory!A:B,2,FALSE())),"")</f>
        <v/>
      </c>
      <c r="D128" s="16"/>
      <c r="E128" s="16"/>
      <c r="F128" s="15"/>
      <c r="G128" s="15"/>
      <c r="H128" s="17" t="str">
        <f aca="true">IF(AND(A128&lt;&gt;"",G128="",F128&lt;&gt;"",F128&lt;TODAY()),TODAY()-F128,"")</f>
        <v/>
      </c>
      <c r="I128" s="16"/>
    </row>
    <row r="129" customFormat="false" ht="15" hidden="false" customHeight="false" outlineLevel="0" collapsed="false">
      <c r="A129" s="15"/>
      <c r="B129" s="16"/>
      <c r="C129" s="13" t="str">
        <f aca="false">IFERROR(IF(B129="","",VLOOKUP(B129,Inventory!A:B,2,FALSE())),"")</f>
        <v/>
      </c>
      <c r="D129" s="16"/>
      <c r="E129" s="16"/>
      <c r="F129" s="15"/>
      <c r="G129" s="15"/>
      <c r="H129" s="17" t="str">
        <f aca="true">IF(AND(A129&lt;&gt;"",G129="",F129&lt;&gt;"",F129&lt;TODAY()),TODAY()-F129,"")</f>
        <v/>
      </c>
      <c r="I129" s="16"/>
    </row>
    <row r="130" customFormat="false" ht="15" hidden="false" customHeight="false" outlineLevel="0" collapsed="false">
      <c r="A130" s="15"/>
      <c r="B130" s="16"/>
      <c r="C130" s="13" t="str">
        <f aca="false">IFERROR(IF(B130="","",VLOOKUP(B130,Inventory!A:B,2,FALSE())),"")</f>
        <v/>
      </c>
      <c r="D130" s="16"/>
      <c r="E130" s="16"/>
      <c r="F130" s="15"/>
      <c r="G130" s="15"/>
      <c r="H130" s="17" t="str">
        <f aca="true">IF(AND(A130&lt;&gt;"",G130="",F130&lt;&gt;"",F130&lt;TODAY()),TODAY()-F130,"")</f>
        <v/>
      </c>
      <c r="I130" s="16"/>
    </row>
    <row r="131" customFormat="false" ht="15" hidden="false" customHeight="false" outlineLevel="0" collapsed="false">
      <c r="A131" s="15"/>
      <c r="B131" s="16"/>
      <c r="C131" s="13" t="str">
        <f aca="false">IFERROR(IF(B131="","",VLOOKUP(B131,Inventory!A:B,2,FALSE())),"")</f>
        <v/>
      </c>
      <c r="D131" s="16"/>
      <c r="E131" s="16"/>
      <c r="F131" s="15"/>
      <c r="G131" s="15"/>
      <c r="H131" s="17" t="str">
        <f aca="true">IF(AND(A131&lt;&gt;"",G131="",F131&lt;&gt;"",F131&lt;TODAY()),TODAY()-F131,"")</f>
        <v/>
      </c>
      <c r="I131" s="16"/>
    </row>
    <row r="132" customFormat="false" ht="15" hidden="false" customHeight="false" outlineLevel="0" collapsed="false">
      <c r="A132" s="15"/>
      <c r="B132" s="16"/>
      <c r="C132" s="13" t="str">
        <f aca="false">IFERROR(IF(B132="","",VLOOKUP(B132,Inventory!A:B,2,FALSE())),"")</f>
        <v/>
      </c>
      <c r="D132" s="16"/>
      <c r="E132" s="16"/>
      <c r="F132" s="15"/>
      <c r="G132" s="15"/>
      <c r="H132" s="17" t="str">
        <f aca="true">IF(AND(A132&lt;&gt;"",G132="",F132&lt;&gt;"",F132&lt;TODAY()),TODAY()-F132,"")</f>
        <v/>
      </c>
      <c r="I132" s="16"/>
    </row>
    <row r="133" customFormat="false" ht="15" hidden="false" customHeight="false" outlineLevel="0" collapsed="false">
      <c r="A133" s="15"/>
      <c r="B133" s="16"/>
      <c r="C133" s="13" t="str">
        <f aca="false">IFERROR(IF(B133="","",VLOOKUP(B133,Inventory!A:B,2,FALSE())),"")</f>
        <v/>
      </c>
      <c r="D133" s="16"/>
      <c r="E133" s="16"/>
      <c r="F133" s="15"/>
      <c r="G133" s="15"/>
      <c r="H133" s="17" t="str">
        <f aca="true">IF(AND(A133&lt;&gt;"",G133="",F133&lt;&gt;"",F133&lt;TODAY()),TODAY()-F133,"")</f>
        <v/>
      </c>
      <c r="I133" s="16"/>
    </row>
    <row r="134" customFormat="false" ht="15" hidden="false" customHeight="false" outlineLevel="0" collapsed="false">
      <c r="A134" s="15"/>
      <c r="B134" s="16"/>
      <c r="C134" s="13" t="str">
        <f aca="false">IFERROR(IF(B134="","",VLOOKUP(B134,Inventory!A:B,2,FALSE())),"")</f>
        <v/>
      </c>
      <c r="D134" s="16"/>
      <c r="E134" s="16"/>
      <c r="F134" s="15"/>
      <c r="G134" s="15"/>
      <c r="H134" s="17" t="str">
        <f aca="true">IF(AND(A134&lt;&gt;"",G134="",F134&lt;&gt;"",F134&lt;TODAY()),TODAY()-F134,"")</f>
        <v/>
      </c>
      <c r="I134" s="16"/>
    </row>
    <row r="135" customFormat="false" ht="15" hidden="false" customHeight="false" outlineLevel="0" collapsed="false">
      <c r="A135" s="15"/>
      <c r="B135" s="16"/>
      <c r="C135" s="13" t="str">
        <f aca="false">IFERROR(IF(B135="","",VLOOKUP(B135,Inventory!A:B,2,FALSE())),"")</f>
        <v/>
      </c>
      <c r="D135" s="16"/>
      <c r="E135" s="16"/>
      <c r="F135" s="15"/>
      <c r="G135" s="15"/>
      <c r="H135" s="17" t="str">
        <f aca="true">IF(AND(A135&lt;&gt;"",G135="",F135&lt;&gt;"",F135&lt;TODAY()),TODAY()-F135,"")</f>
        <v/>
      </c>
      <c r="I135" s="16"/>
    </row>
    <row r="136" customFormat="false" ht="15" hidden="false" customHeight="false" outlineLevel="0" collapsed="false">
      <c r="A136" s="15"/>
      <c r="B136" s="16"/>
      <c r="C136" s="13" t="str">
        <f aca="false">IFERROR(IF(B136="","",VLOOKUP(B136,Inventory!A:B,2,FALSE())),"")</f>
        <v/>
      </c>
      <c r="D136" s="16"/>
      <c r="E136" s="16"/>
      <c r="F136" s="15"/>
      <c r="G136" s="15"/>
      <c r="H136" s="17" t="str">
        <f aca="true">IF(AND(A136&lt;&gt;"",G136="",F136&lt;&gt;"",F136&lt;TODAY()),TODAY()-F136,"")</f>
        <v/>
      </c>
      <c r="I136" s="16"/>
    </row>
    <row r="137" customFormat="false" ht="15" hidden="false" customHeight="false" outlineLevel="0" collapsed="false">
      <c r="A137" s="15"/>
      <c r="B137" s="16"/>
      <c r="C137" s="13" t="str">
        <f aca="false">IFERROR(IF(B137="","",VLOOKUP(B137,Inventory!A:B,2,FALSE())),"")</f>
        <v/>
      </c>
      <c r="D137" s="16"/>
      <c r="E137" s="16"/>
      <c r="F137" s="15"/>
      <c r="G137" s="15"/>
      <c r="H137" s="17" t="str">
        <f aca="true">IF(AND(A137&lt;&gt;"",G137="",F137&lt;&gt;"",F137&lt;TODAY()),TODAY()-F137,"")</f>
        <v/>
      </c>
      <c r="I137" s="16"/>
    </row>
    <row r="138" customFormat="false" ht="15" hidden="false" customHeight="false" outlineLevel="0" collapsed="false">
      <c r="A138" s="15"/>
      <c r="B138" s="16"/>
      <c r="C138" s="13" t="str">
        <f aca="false">IFERROR(IF(B138="","",VLOOKUP(B138,Inventory!A:B,2,FALSE())),"")</f>
        <v/>
      </c>
      <c r="D138" s="16"/>
      <c r="E138" s="16"/>
      <c r="F138" s="15"/>
      <c r="G138" s="15"/>
      <c r="H138" s="17" t="str">
        <f aca="true">IF(AND(A138&lt;&gt;"",G138="",F138&lt;&gt;"",F138&lt;TODAY()),TODAY()-F138,"")</f>
        <v/>
      </c>
      <c r="I138" s="16"/>
    </row>
    <row r="139" customFormat="false" ht="15" hidden="false" customHeight="false" outlineLevel="0" collapsed="false">
      <c r="A139" s="15"/>
      <c r="B139" s="16"/>
      <c r="C139" s="13" t="str">
        <f aca="false">IFERROR(IF(B139="","",VLOOKUP(B139,Inventory!A:B,2,FALSE())),"")</f>
        <v/>
      </c>
      <c r="D139" s="16"/>
      <c r="E139" s="16"/>
      <c r="F139" s="15"/>
      <c r="G139" s="15"/>
      <c r="H139" s="17" t="str">
        <f aca="true">IF(AND(A139&lt;&gt;"",G139="",F139&lt;&gt;"",F139&lt;TODAY()),TODAY()-F139,"")</f>
        <v/>
      </c>
      <c r="I139" s="16"/>
    </row>
    <row r="140" customFormat="false" ht="15" hidden="false" customHeight="false" outlineLevel="0" collapsed="false">
      <c r="A140" s="15"/>
      <c r="B140" s="16"/>
      <c r="C140" s="13" t="str">
        <f aca="false">IFERROR(IF(B140="","",VLOOKUP(B140,Inventory!A:B,2,FALSE())),"")</f>
        <v/>
      </c>
      <c r="D140" s="16"/>
      <c r="E140" s="16"/>
      <c r="F140" s="15"/>
      <c r="G140" s="15"/>
      <c r="H140" s="17" t="str">
        <f aca="true">IF(AND(A140&lt;&gt;"",G140="",F140&lt;&gt;"",F140&lt;TODAY()),TODAY()-F140,"")</f>
        <v/>
      </c>
      <c r="I140" s="16"/>
    </row>
    <row r="141" customFormat="false" ht="15" hidden="false" customHeight="false" outlineLevel="0" collapsed="false">
      <c r="A141" s="15"/>
      <c r="B141" s="16"/>
      <c r="C141" s="13" t="str">
        <f aca="false">IFERROR(IF(B141="","",VLOOKUP(B141,Inventory!A:B,2,FALSE())),"")</f>
        <v/>
      </c>
      <c r="D141" s="16"/>
      <c r="E141" s="16"/>
      <c r="F141" s="15"/>
      <c r="G141" s="15"/>
      <c r="H141" s="17" t="str">
        <f aca="true">IF(AND(A141&lt;&gt;"",G141="",F141&lt;&gt;"",F141&lt;TODAY()),TODAY()-F141,"")</f>
        <v/>
      </c>
      <c r="I141" s="16"/>
    </row>
    <row r="142" customFormat="false" ht="15" hidden="false" customHeight="false" outlineLevel="0" collapsed="false">
      <c r="A142" s="15"/>
      <c r="B142" s="16"/>
      <c r="C142" s="13" t="str">
        <f aca="false">IFERROR(IF(B142="","",VLOOKUP(B142,Inventory!A:B,2,FALSE())),"")</f>
        <v/>
      </c>
      <c r="D142" s="16"/>
      <c r="E142" s="16"/>
      <c r="F142" s="15"/>
      <c r="G142" s="15"/>
      <c r="H142" s="17" t="str">
        <f aca="true">IF(AND(A142&lt;&gt;"",G142="",F142&lt;&gt;"",F142&lt;TODAY()),TODAY()-F142,"")</f>
        <v/>
      </c>
      <c r="I142" s="16"/>
    </row>
    <row r="143" customFormat="false" ht="15" hidden="false" customHeight="false" outlineLevel="0" collapsed="false">
      <c r="A143" s="15"/>
      <c r="B143" s="16"/>
      <c r="C143" s="13" t="str">
        <f aca="false">IFERROR(IF(B143="","",VLOOKUP(B143,Inventory!A:B,2,FALSE())),"")</f>
        <v/>
      </c>
      <c r="D143" s="16"/>
      <c r="E143" s="16"/>
      <c r="F143" s="15"/>
      <c r="G143" s="15"/>
      <c r="H143" s="17" t="str">
        <f aca="true">IF(AND(A143&lt;&gt;"",G143="",F143&lt;&gt;"",F143&lt;TODAY()),TODAY()-F143,"")</f>
        <v/>
      </c>
      <c r="I143" s="16"/>
    </row>
    <row r="144" customFormat="false" ht="15" hidden="false" customHeight="false" outlineLevel="0" collapsed="false">
      <c r="A144" s="15"/>
      <c r="B144" s="16"/>
      <c r="C144" s="13" t="str">
        <f aca="false">IFERROR(IF(B144="","",VLOOKUP(B144,Inventory!A:B,2,FALSE())),"")</f>
        <v/>
      </c>
      <c r="D144" s="16"/>
      <c r="E144" s="16"/>
      <c r="F144" s="15"/>
      <c r="G144" s="15"/>
      <c r="H144" s="17" t="str">
        <f aca="true">IF(AND(A144&lt;&gt;"",G144="",F144&lt;&gt;"",F144&lt;TODAY()),TODAY()-F144,"")</f>
        <v/>
      </c>
      <c r="I144" s="16"/>
    </row>
    <row r="145" customFormat="false" ht="15" hidden="false" customHeight="false" outlineLevel="0" collapsed="false">
      <c r="A145" s="15"/>
      <c r="B145" s="16"/>
      <c r="C145" s="13" t="str">
        <f aca="false">IFERROR(IF(B145="","",VLOOKUP(B145,Inventory!A:B,2,FALSE())),"")</f>
        <v/>
      </c>
      <c r="D145" s="16"/>
      <c r="E145" s="16"/>
      <c r="F145" s="15"/>
      <c r="G145" s="15"/>
      <c r="H145" s="17" t="str">
        <f aca="true">IF(AND(A145&lt;&gt;"",G145="",F145&lt;&gt;"",F145&lt;TODAY()),TODAY()-F145,"")</f>
        <v/>
      </c>
      <c r="I145" s="16"/>
    </row>
    <row r="146" customFormat="false" ht="15" hidden="false" customHeight="false" outlineLevel="0" collapsed="false">
      <c r="A146" s="15"/>
      <c r="B146" s="16"/>
      <c r="C146" s="13" t="str">
        <f aca="false">IFERROR(IF(B146="","",VLOOKUP(B146,Inventory!A:B,2,FALSE())),"")</f>
        <v/>
      </c>
      <c r="D146" s="16"/>
      <c r="E146" s="16"/>
      <c r="F146" s="15"/>
      <c r="G146" s="15"/>
      <c r="H146" s="17" t="str">
        <f aca="true">IF(AND(A146&lt;&gt;"",G146="",F146&lt;&gt;"",F146&lt;TODAY()),TODAY()-F146,"")</f>
        <v/>
      </c>
      <c r="I146" s="16"/>
    </row>
    <row r="147" customFormat="false" ht="15" hidden="false" customHeight="false" outlineLevel="0" collapsed="false">
      <c r="A147" s="15"/>
      <c r="B147" s="16"/>
      <c r="C147" s="13" t="str">
        <f aca="false">IFERROR(IF(B147="","",VLOOKUP(B147,Inventory!A:B,2,FALSE())),"")</f>
        <v/>
      </c>
      <c r="D147" s="16"/>
      <c r="E147" s="16"/>
      <c r="F147" s="15"/>
      <c r="G147" s="15"/>
      <c r="H147" s="17" t="str">
        <f aca="true">IF(AND(A147&lt;&gt;"",G147="",F147&lt;&gt;"",F147&lt;TODAY()),TODAY()-F147,"")</f>
        <v/>
      </c>
      <c r="I147" s="16"/>
    </row>
    <row r="148" customFormat="false" ht="15" hidden="false" customHeight="false" outlineLevel="0" collapsed="false">
      <c r="A148" s="15"/>
      <c r="B148" s="16"/>
      <c r="C148" s="13" t="str">
        <f aca="false">IFERROR(IF(B148="","",VLOOKUP(B148,Inventory!A:B,2,FALSE())),"")</f>
        <v/>
      </c>
      <c r="D148" s="16"/>
      <c r="E148" s="16"/>
      <c r="F148" s="15"/>
      <c r="G148" s="15"/>
      <c r="H148" s="17" t="str">
        <f aca="true">IF(AND(A148&lt;&gt;"",G148="",F148&lt;&gt;"",F148&lt;TODAY()),TODAY()-F148,"")</f>
        <v/>
      </c>
      <c r="I148" s="16"/>
    </row>
    <row r="149" customFormat="false" ht="15" hidden="false" customHeight="false" outlineLevel="0" collapsed="false">
      <c r="A149" s="15"/>
      <c r="B149" s="16"/>
      <c r="C149" s="13" t="str">
        <f aca="false">IFERROR(IF(B149="","",VLOOKUP(B149,Inventory!A:B,2,FALSE())),"")</f>
        <v/>
      </c>
      <c r="D149" s="16"/>
      <c r="E149" s="16"/>
      <c r="F149" s="15"/>
      <c r="G149" s="15"/>
      <c r="H149" s="17" t="str">
        <f aca="true">IF(AND(A149&lt;&gt;"",G149="",F149&lt;&gt;"",F149&lt;TODAY()),TODAY()-F149,"")</f>
        <v/>
      </c>
      <c r="I149" s="16"/>
    </row>
    <row r="150" customFormat="false" ht="15" hidden="false" customHeight="false" outlineLevel="0" collapsed="false">
      <c r="A150" s="15"/>
      <c r="B150" s="16"/>
      <c r="C150" s="13" t="str">
        <f aca="false">IFERROR(IF(B150="","",VLOOKUP(B150,Inventory!A:B,2,FALSE())),"")</f>
        <v/>
      </c>
      <c r="D150" s="16"/>
      <c r="E150" s="16"/>
      <c r="F150" s="15"/>
      <c r="G150" s="15"/>
      <c r="H150" s="17" t="str">
        <f aca="true">IF(AND(A150&lt;&gt;"",G150="",F150&lt;&gt;"",F150&lt;TODAY()),TODAY()-F150,"")</f>
        <v/>
      </c>
      <c r="I150" s="16"/>
    </row>
    <row r="151" customFormat="false" ht="15" hidden="false" customHeight="false" outlineLevel="0" collapsed="false">
      <c r="A151" s="15"/>
      <c r="B151" s="16"/>
      <c r="C151" s="13" t="str">
        <f aca="false">IFERROR(IF(B151="","",VLOOKUP(B151,Inventory!A:B,2,FALSE())),"")</f>
        <v/>
      </c>
      <c r="D151" s="16"/>
      <c r="E151" s="16"/>
      <c r="F151" s="15"/>
      <c r="G151" s="15"/>
      <c r="H151" s="17" t="str">
        <f aca="true">IF(AND(A151&lt;&gt;"",G151="",F151&lt;&gt;"",F151&lt;TODAY()),TODAY()-F151,"")</f>
        <v/>
      </c>
      <c r="I151" s="16"/>
    </row>
    <row r="152" customFormat="false" ht="15" hidden="false" customHeight="false" outlineLevel="0" collapsed="false">
      <c r="A152" s="15"/>
      <c r="B152" s="16"/>
      <c r="C152" s="13" t="str">
        <f aca="false">IFERROR(IF(B152="","",VLOOKUP(B152,Inventory!A:B,2,FALSE())),"")</f>
        <v/>
      </c>
      <c r="D152" s="16"/>
      <c r="E152" s="16"/>
      <c r="F152" s="15"/>
      <c r="G152" s="15"/>
      <c r="H152" s="17" t="str">
        <f aca="true">IF(AND(A152&lt;&gt;"",G152="",F152&lt;&gt;"",F152&lt;TODAY()),TODAY()-F152,"")</f>
        <v/>
      </c>
      <c r="I152" s="16"/>
    </row>
    <row r="153" customFormat="false" ht="15" hidden="false" customHeight="false" outlineLevel="0" collapsed="false">
      <c r="A153" s="15"/>
      <c r="B153" s="16"/>
      <c r="C153" s="13" t="str">
        <f aca="false">IFERROR(IF(B153="","",VLOOKUP(B153,Inventory!A:B,2,FALSE())),"")</f>
        <v/>
      </c>
      <c r="D153" s="16"/>
      <c r="E153" s="16"/>
      <c r="F153" s="15"/>
      <c r="G153" s="15"/>
      <c r="H153" s="17" t="str">
        <f aca="true">IF(AND(A153&lt;&gt;"",G153="",F153&lt;&gt;"",F153&lt;TODAY()),TODAY()-F153,"")</f>
        <v/>
      </c>
      <c r="I153" s="16"/>
    </row>
    <row r="154" customFormat="false" ht="15" hidden="false" customHeight="false" outlineLevel="0" collapsed="false">
      <c r="A154" s="15"/>
      <c r="B154" s="16"/>
      <c r="C154" s="13" t="str">
        <f aca="false">IFERROR(IF(B154="","",VLOOKUP(B154,Inventory!A:B,2,FALSE())),"")</f>
        <v/>
      </c>
      <c r="D154" s="16"/>
      <c r="E154" s="16"/>
      <c r="F154" s="15"/>
      <c r="G154" s="15"/>
      <c r="H154" s="17" t="str">
        <f aca="true">IF(AND(A154&lt;&gt;"",G154="",F154&lt;&gt;"",F154&lt;TODAY()),TODAY()-F154,"")</f>
        <v/>
      </c>
      <c r="I154" s="16"/>
    </row>
    <row r="155" customFormat="false" ht="15" hidden="false" customHeight="false" outlineLevel="0" collapsed="false">
      <c r="A155" s="15"/>
      <c r="B155" s="16"/>
      <c r="C155" s="13" t="str">
        <f aca="false">IFERROR(IF(B155="","",VLOOKUP(B155,Inventory!A:B,2,FALSE())),"")</f>
        <v/>
      </c>
      <c r="D155" s="16"/>
      <c r="E155" s="16"/>
      <c r="F155" s="15"/>
      <c r="G155" s="15"/>
      <c r="H155" s="17" t="str">
        <f aca="true">IF(AND(A155&lt;&gt;"",G155="",F155&lt;&gt;"",F155&lt;TODAY()),TODAY()-F155,"")</f>
        <v/>
      </c>
      <c r="I155" s="16"/>
    </row>
    <row r="156" customFormat="false" ht="15" hidden="false" customHeight="false" outlineLevel="0" collapsed="false">
      <c r="A156" s="15"/>
      <c r="B156" s="16"/>
      <c r="C156" s="13" t="str">
        <f aca="false">IFERROR(IF(B156="","",VLOOKUP(B156,Inventory!A:B,2,FALSE())),"")</f>
        <v/>
      </c>
      <c r="D156" s="16"/>
      <c r="E156" s="16"/>
      <c r="F156" s="15"/>
      <c r="G156" s="15"/>
      <c r="H156" s="17" t="str">
        <f aca="true">IF(AND(A156&lt;&gt;"",G156="",F156&lt;&gt;"",F156&lt;TODAY()),TODAY()-F156,"")</f>
        <v/>
      </c>
      <c r="I156" s="16"/>
    </row>
    <row r="157" customFormat="false" ht="15" hidden="false" customHeight="false" outlineLevel="0" collapsed="false">
      <c r="A157" s="15"/>
      <c r="B157" s="16"/>
      <c r="C157" s="13" t="str">
        <f aca="false">IFERROR(IF(B157="","",VLOOKUP(B157,Inventory!A:B,2,FALSE())),"")</f>
        <v/>
      </c>
      <c r="D157" s="16"/>
      <c r="E157" s="16"/>
      <c r="F157" s="15"/>
      <c r="G157" s="15"/>
      <c r="H157" s="17" t="str">
        <f aca="true">IF(AND(A157&lt;&gt;"",G157="",F157&lt;&gt;"",F157&lt;TODAY()),TODAY()-F157,"")</f>
        <v/>
      </c>
      <c r="I157" s="16"/>
    </row>
    <row r="158" customFormat="false" ht="15" hidden="false" customHeight="false" outlineLevel="0" collapsed="false">
      <c r="A158" s="15"/>
      <c r="B158" s="16"/>
      <c r="C158" s="13" t="str">
        <f aca="false">IFERROR(IF(B158="","",VLOOKUP(B158,Inventory!A:B,2,FALSE())),"")</f>
        <v/>
      </c>
      <c r="D158" s="16"/>
      <c r="E158" s="16"/>
      <c r="F158" s="15"/>
      <c r="G158" s="15"/>
      <c r="H158" s="17" t="str">
        <f aca="true">IF(AND(A158&lt;&gt;"",G158="",F158&lt;&gt;"",F158&lt;TODAY()),TODAY()-F158,"")</f>
        <v/>
      </c>
      <c r="I158" s="16"/>
    </row>
    <row r="159" customFormat="false" ht="15" hidden="false" customHeight="false" outlineLevel="0" collapsed="false">
      <c r="A159" s="15"/>
      <c r="B159" s="16"/>
      <c r="C159" s="13" t="str">
        <f aca="false">IFERROR(IF(B159="","",VLOOKUP(B159,Inventory!A:B,2,FALSE())),"")</f>
        <v/>
      </c>
      <c r="D159" s="16"/>
      <c r="E159" s="16"/>
      <c r="F159" s="15"/>
      <c r="G159" s="15"/>
      <c r="H159" s="17" t="str">
        <f aca="true">IF(AND(A159&lt;&gt;"",G159="",F159&lt;&gt;"",F159&lt;TODAY()),TODAY()-F159,"")</f>
        <v/>
      </c>
      <c r="I159" s="16"/>
    </row>
    <row r="160" customFormat="false" ht="15" hidden="false" customHeight="false" outlineLevel="0" collapsed="false">
      <c r="A160" s="15"/>
      <c r="B160" s="16"/>
      <c r="C160" s="13" t="str">
        <f aca="false">IFERROR(IF(B160="","",VLOOKUP(B160,Inventory!A:B,2,FALSE())),"")</f>
        <v/>
      </c>
      <c r="D160" s="16"/>
      <c r="E160" s="16"/>
      <c r="F160" s="15"/>
      <c r="G160" s="15"/>
      <c r="H160" s="17" t="str">
        <f aca="true">IF(AND(A160&lt;&gt;"",G160="",F160&lt;&gt;"",F160&lt;TODAY()),TODAY()-F160,"")</f>
        <v/>
      </c>
      <c r="I160" s="16"/>
    </row>
    <row r="161" customFormat="false" ht="15" hidden="false" customHeight="false" outlineLevel="0" collapsed="false">
      <c r="A161" s="15"/>
      <c r="B161" s="16"/>
      <c r="C161" s="13" t="str">
        <f aca="false">IFERROR(IF(B161="","",VLOOKUP(B161,Inventory!A:B,2,FALSE())),"")</f>
        <v/>
      </c>
      <c r="D161" s="16"/>
      <c r="E161" s="16"/>
      <c r="F161" s="15"/>
      <c r="G161" s="15"/>
      <c r="H161" s="17" t="str">
        <f aca="true">IF(AND(A161&lt;&gt;"",G161="",F161&lt;&gt;"",F161&lt;TODAY()),TODAY()-F161,"")</f>
        <v/>
      </c>
      <c r="I161" s="16"/>
    </row>
    <row r="162" customFormat="false" ht="15" hidden="false" customHeight="false" outlineLevel="0" collapsed="false">
      <c r="A162" s="15"/>
      <c r="B162" s="16"/>
      <c r="C162" s="13" t="str">
        <f aca="false">IFERROR(IF(B162="","",VLOOKUP(B162,Inventory!A:B,2,FALSE())),"")</f>
        <v/>
      </c>
      <c r="D162" s="16"/>
      <c r="E162" s="16"/>
      <c r="F162" s="15"/>
      <c r="G162" s="15"/>
      <c r="H162" s="17" t="str">
        <f aca="true">IF(AND(A162&lt;&gt;"",G162="",F162&lt;&gt;"",F162&lt;TODAY()),TODAY()-F162,"")</f>
        <v/>
      </c>
      <c r="I162" s="16"/>
    </row>
    <row r="163" customFormat="false" ht="15" hidden="false" customHeight="false" outlineLevel="0" collapsed="false">
      <c r="A163" s="15"/>
      <c r="B163" s="16"/>
      <c r="C163" s="13" t="str">
        <f aca="false">IFERROR(IF(B163="","",VLOOKUP(B163,Inventory!A:B,2,FALSE())),"")</f>
        <v/>
      </c>
      <c r="D163" s="16"/>
      <c r="E163" s="16"/>
      <c r="F163" s="15"/>
      <c r="G163" s="15"/>
      <c r="H163" s="17" t="str">
        <f aca="true">IF(AND(A163&lt;&gt;"",G163="",F163&lt;&gt;"",F163&lt;TODAY()),TODAY()-F163,"")</f>
        <v/>
      </c>
      <c r="I163" s="16"/>
    </row>
    <row r="164" customFormat="false" ht="15" hidden="false" customHeight="false" outlineLevel="0" collapsed="false">
      <c r="A164" s="15"/>
      <c r="B164" s="16"/>
      <c r="C164" s="13" t="str">
        <f aca="false">IFERROR(IF(B164="","",VLOOKUP(B164,Inventory!A:B,2,FALSE())),"")</f>
        <v/>
      </c>
      <c r="D164" s="16"/>
      <c r="E164" s="16"/>
      <c r="F164" s="15"/>
      <c r="G164" s="15"/>
      <c r="H164" s="17" t="str">
        <f aca="true">IF(AND(A164&lt;&gt;"",G164="",F164&lt;&gt;"",F164&lt;TODAY()),TODAY()-F164,"")</f>
        <v/>
      </c>
      <c r="I164" s="16"/>
    </row>
    <row r="165" customFormat="false" ht="15" hidden="false" customHeight="false" outlineLevel="0" collapsed="false">
      <c r="A165" s="15"/>
      <c r="B165" s="16"/>
      <c r="C165" s="13" t="str">
        <f aca="false">IFERROR(IF(B165="","",VLOOKUP(B165,Inventory!A:B,2,FALSE())),"")</f>
        <v/>
      </c>
      <c r="D165" s="16"/>
      <c r="E165" s="16"/>
      <c r="F165" s="15"/>
      <c r="G165" s="15"/>
      <c r="H165" s="17" t="str">
        <f aca="true">IF(AND(A165&lt;&gt;"",G165="",F165&lt;&gt;"",F165&lt;TODAY()),TODAY()-F165,"")</f>
        <v/>
      </c>
      <c r="I165" s="16"/>
    </row>
    <row r="166" customFormat="false" ht="15" hidden="false" customHeight="false" outlineLevel="0" collapsed="false">
      <c r="A166" s="15"/>
      <c r="B166" s="16"/>
      <c r="C166" s="13" t="str">
        <f aca="false">IFERROR(IF(B166="","",VLOOKUP(B166,Inventory!A:B,2,FALSE())),"")</f>
        <v/>
      </c>
      <c r="D166" s="16"/>
      <c r="E166" s="16"/>
      <c r="F166" s="15"/>
      <c r="G166" s="15"/>
      <c r="H166" s="17" t="str">
        <f aca="true">IF(AND(A166&lt;&gt;"",G166="",F166&lt;&gt;"",F166&lt;TODAY()),TODAY()-F166,"")</f>
        <v/>
      </c>
      <c r="I166" s="16"/>
    </row>
    <row r="167" customFormat="false" ht="15" hidden="false" customHeight="false" outlineLevel="0" collapsed="false">
      <c r="A167" s="15"/>
      <c r="B167" s="16"/>
      <c r="C167" s="13" t="str">
        <f aca="false">IFERROR(IF(B167="","",VLOOKUP(B167,Inventory!A:B,2,FALSE())),"")</f>
        <v/>
      </c>
      <c r="D167" s="16"/>
      <c r="E167" s="16"/>
      <c r="F167" s="15"/>
      <c r="G167" s="15"/>
      <c r="H167" s="17" t="str">
        <f aca="true">IF(AND(A167&lt;&gt;"",G167="",F167&lt;&gt;"",F167&lt;TODAY()),TODAY()-F167,"")</f>
        <v/>
      </c>
      <c r="I167" s="16"/>
    </row>
    <row r="168" customFormat="false" ht="15" hidden="false" customHeight="false" outlineLevel="0" collapsed="false">
      <c r="A168" s="15"/>
      <c r="B168" s="16"/>
      <c r="C168" s="13" t="str">
        <f aca="false">IFERROR(IF(B168="","",VLOOKUP(B168,Inventory!A:B,2,FALSE())),"")</f>
        <v/>
      </c>
      <c r="D168" s="16"/>
      <c r="E168" s="16"/>
      <c r="F168" s="15"/>
      <c r="G168" s="15"/>
      <c r="H168" s="17" t="str">
        <f aca="true">IF(AND(A168&lt;&gt;"",G168="",F168&lt;&gt;"",F168&lt;TODAY()),TODAY()-F168,"")</f>
        <v/>
      </c>
      <c r="I168" s="16"/>
    </row>
    <row r="169" customFormat="false" ht="15" hidden="false" customHeight="false" outlineLevel="0" collapsed="false">
      <c r="A169" s="15"/>
      <c r="B169" s="16"/>
      <c r="C169" s="13" t="str">
        <f aca="false">IFERROR(IF(B169="","",VLOOKUP(B169,Inventory!A:B,2,FALSE())),"")</f>
        <v/>
      </c>
      <c r="D169" s="16"/>
      <c r="E169" s="16"/>
      <c r="F169" s="15"/>
      <c r="G169" s="15"/>
      <c r="H169" s="17" t="str">
        <f aca="true">IF(AND(A169&lt;&gt;"",G169="",F169&lt;&gt;"",F169&lt;TODAY()),TODAY()-F169,"")</f>
        <v/>
      </c>
      <c r="I169" s="16"/>
    </row>
    <row r="170" customFormat="false" ht="15" hidden="false" customHeight="false" outlineLevel="0" collapsed="false">
      <c r="A170" s="15"/>
      <c r="B170" s="16"/>
      <c r="C170" s="13" t="str">
        <f aca="false">IFERROR(IF(B170="","",VLOOKUP(B170,Inventory!A:B,2,FALSE())),"")</f>
        <v/>
      </c>
      <c r="D170" s="16"/>
      <c r="E170" s="16"/>
      <c r="F170" s="15"/>
      <c r="G170" s="15"/>
      <c r="H170" s="17" t="str">
        <f aca="true">IF(AND(A170&lt;&gt;"",G170="",F170&lt;&gt;"",F170&lt;TODAY()),TODAY()-F170,"")</f>
        <v/>
      </c>
      <c r="I170" s="16"/>
    </row>
    <row r="171" customFormat="false" ht="15" hidden="false" customHeight="false" outlineLevel="0" collapsed="false">
      <c r="A171" s="15"/>
      <c r="B171" s="16"/>
      <c r="C171" s="13" t="str">
        <f aca="false">IFERROR(IF(B171="","",VLOOKUP(B171,Inventory!A:B,2,FALSE())),"")</f>
        <v/>
      </c>
      <c r="D171" s="16"/>
      <c r="E171" s="16"/>
      <c r="F171" s="15"/>
      <c r="G171" s="15"/>
      <c r="H171" s="17" t="str">
        <f aca="true">IF(AND(A171&lt;&gt;"",G171="",F171&lt;&gt;"",F171&lt;TODAY()),TODAY()-F171,"")</f>
        <v/>
      </c>
      <c r="I171" s="16"/>
    </row>
    <row r="172" customFormat="false" ht="15" hidden="false" customHeight="false" outlineLevel="0" collapsed="false">
      <c r="A172" s="15"/>
      <c r="B172" s="16"/>
      <c r="C172" s="13" t="str">
        <f aca="false">IFERROR(IF(B172="","",VLOOKUP(B172,Inventory!A:B,2,FALSE())),"")</f>
        <v/>
      </c>
      <c r="D172" s="16"/>
      <c r="E172" s="16"/>
      <c r="F172" s="15"/>
      <c r="G172" s="15"/>
      <c r="H172" s="17" t="str">
        <f aca="true">IF(AND(A172&lt;&gt;"",G172="",F172&lt;&gt;"",F172&lt;TODAY()),TODAY()-F172,"")</f>
        <v/>
      </c>
      <c r="I172" s="16"/>
    </row>
    <row r="173" customFormat="false" ht="15" hidden="false" customHeight="false" outlineLevel="0" collapsed="false">
      <c r="A173" s="15"/>
      <c r="B173" s="16"/>
      <c r="C173" s="13" t="str">
        <f aca="false">IFERROR(IF(B173="","",VLOOKUP(B173,Inventory!A:B,2,FALSE())),"")</f>
        <v/>
      </c>
      <c r="D173" s="16"/>
      <c r="E173" s="16"/>
      <c r="F173" s="15"/>
      <c r="G173" s="15"/>
      <c r="H173" s="17" t="str">
        <f aca="true">IF(AND(A173&lt;&gt;"",G173="",F173&lt;&gt;"",F173&lt;TODAY()),TODAY()-F173,"")</f>
        <v/>
      </c>
      <c r="I173" s="16"/>
    </row>
    <row r="174" customFormat="false" ht="15" hidden="false" customHeight="false" outlineLevel="0" collapsed="false">
      <c r="A174" s="15"/>
      <c r="B174" s="16"/>
      <c r="C174" s="13" t="str">
        <f aca="false">IFERROR(IF(B174="","",VLOOKUP(B174,Inventory!A:B,2,FALSE())),"")</f>
        <v/>
      </c>
      <c r="D174" s="16"/>
      <c r="E174" s="16"/>
      <c r="F174" s="15"/>
      <c r="G174" s="15"/>
      <c r="H174" s="17" t="str">
        <f aca="true">IF(AND(A174&lt;&gt;"",G174="",F174&lt;&gt;"",F174&lt;TODAY()),TODAY()-F174,"")</f>
        <v/>
      </c>
      <c r="I174" s="16"/>
    </row>
    <row r="175" customFormat="false" ht="15" hidden="false" customHeight="false" outlineLevel="0" collapsed="false">
      <c r="A175" s="15"/>
      <c r="B175" s="16"/>
      <c r="C175" s="13" t="str">
        <f aca="false">IFERROR(IF(B175="","",VLOOKUP(B175,Inventory!A:B,2,FALSE())),"")</f>
        <v/>
      </c>
      <c r="D175" s="16"/>
      <c r="E175" s="16"/>
      <c r="F175" s="15"/>
      <c r="G175" s="15"/>
      <c r="H175" s="17" t="str">
        <f aca="true">IF(AND(A175&lt;&gt;"",G175="",F175&lt;&gt;"",F175&lt;TODAY()),TODAY()-F175,"")</f>
        <v/>
      </c>
      <c r="I175" s="16"/>
    </row>
    <row r="176" customFormat="false" ht="15" hidden="false" customHeight="false" outlineLevel="0" collapsed="false">
      <c r="A176" s="15"/>
      <c r="B176" s="16"/>
      <c r="C176" s="13" t="str">
        <f aca="false">IFERROR(IF(B176="","",VLOOKUP(B176,Inventory!A:B,2,FALSE())),"")</f>
        <v/>
      </c>
      <c r="D176" s="16"/>
      <c r="E176" s="16"/>
      <c r="F176" s="15"/>
      <c r="G176" s="15"/>
      <c r="H176" s="17" t="str">
        <f aca="true">IF(AND(A176&lt;&gt;"",G176="",F176&lt;&gt;"",F176&lt;TODAY()),TODAY()-F176,"")</f>
        <v/>
      </c>
      <c r="I176" s="16"/>
    </row>
    <row r="177" customFormat="false" ht="15" hidden="false" customHeight="false" outlineLevel="0" collapsed="false">
      <c r="A177" s="15"/>
      <c r="B177" s="16"/>
      <c r="C177" s="13" t="str">
        <f aca="false">IFERROR(IF(B177="","",VLOOKUP(B177,Inventory!A:B,2,FALSE())),"")</f>
        <v/>
      </c>
      <c r="D177" s="16"/>
      <c r="E177" s="16"/>
      <c r="F177" s="15"/>
      <c r="G177" s="15"/>
      <c r="H177" s="17" t="str">
        <f aca="true">IF(AND(A177&lt;&gt;"",G177="",F177&lt;&gt;"",F177&lt;TODAY()),TODAY()-F177,"")</f>
        <v/>
      </c>
      <c r="I177" s="16"/>
    </row>
    <row r="178" customFormat="false" ht="15" hidden="false" customHeight="false" outlineLevel="0" collapsed="false">
      <c r="A178" s="15"/>
      <c r="B178" s="16"/>
      <c r="C178" s="13" t="str">
        <f aca="false">IFERROR(IF(B178="","",VLOOKUP(B178,Inventory!A:B,2,FALSE())),"")</f>
        <v/>
      </c>
      <c r="D178" s="16"/>
      <c r="E178" s="16"/>
      <c r="F178" s="15"/>
      <c r="G178" s="15"/>
      <c r="H178" s="17" t="str">
        <f aca="true">IF(AND(A178&lt;&gt;"",G178="",F178&lt;&gt;"",F178&lt;TODAY()),TODAY()-F178,"")</f>
        <v/>
      </c>
      <c r="I178" s="16"/>
    </row>
    <row r="179" customFormat="false" ht="15" hidden="false" customHeight="false" outlineLevel="0" collapsed="false">
      <c r="A179" s="15"/>
      <c r="B179" s="16"/>
      <c r="C179" s="13" t="str">
        <f aca="false">IFERROR(IF(B179="","",VLOOKUP(B179,Inventory!A:B,2,FALSE())),"")</f>
        <v/>
      </c>
      <c r="D179" s="16"/>
      <c r="E179" s="16"/>
      <c r="F179" s="15"/>
      <c r="G179" s="15"/>
      <c r="H179" s="17" t="str">
        <f aca="true">IF(AND(A179&lt;&gt;"",G179="",F179&lt;&gt;"",F179&lt;TODAY()),TODAY()-F179,"")</f>
        <v/>
      </c>
      <c r="I179" s="16"/>
    </row>
    <row r="180" customFormat="false" ht="15" hidden="false" customHeight="false" outlineLevel="0" collapsed="false">
      <c r="A180" s="15"/>
      <c r="B180" s="16"/>
      <c r="C180" s="13" t="str">
        <f aca="false">IFERROR(IF(B180="","",VLOOKUP(B180,Inventory!A:B,2,FALSE())),"")</f>
        <v/>
      </c>
      <c r="D180" s="16"/>
      <c r="E180" s="16"/>
      <c r="F180" s="15"/>
      <c r="G180" s="15"/>
      <c r="H180" s="17" t="str">
        <f aca="true">IF(AND(A180&lt;&gt;"",G180="",F180&lt;&gt;"",F180&lt;TODAY()),TODAY()-F180,"")</f>
        <v/>
      </c>
      <c r="I180" s="16"/>
    </row>
    <row r="181" customFormat="false" ht="15" hidden="false" customHeight="false" outlineLevel="0" collapsed="false">
      <c r="A181" s="15"/>
      <c r="B181" s="16"/>
      <c r="C181" s="13" t="str">
        <f aca="false">IFERROR(IF(B181="","",VLOOKUP(B181,Inventory!A:B,2,FALSE())),"")</f>
        <v/>
      </c>
      <c r="D181" s="16"/>
      <c r="E181" s="16"/>
      <c r="F181" s="15"/>
      <c r="G181" s="15"/>
      <c r="H181" s="17" t="str">
        <f aca="true">IF(AND(A181&lt;&gt;"",G181="",F181&lt;&gt;"",F181&lt;TODAY()),TODAY()-F181,"")</f>
        <v/>
      </c>
      <c r="I181" s="16"/>
    </row>
    <row r="182" customFormat="false" ht="15" hidden="false" customHeight="false" outlineLevel="0" collapsed="false">
      <c r="A182" s="15"/>
      <c r="B182" s="16"/>
      <c r="C182" s="13" t="str">
        <f aca="false">IFERROR(IF(B182="","",VLOOKUP(B182,Inventory!A:B,2,FALSE())),"")</f>
        <v/>
      </c>
      <c r="D182" s="16"/>
      <c r="E182" s="16"/>
      <c r="F182" s="15"/>
      <c r="G182" s="15"/>
      <c r="H182" s="17" t="str">
        <f aca="true">IF(AND(A182&lt;&gt;"",G182="",F182&lt;&gt;"",F182&lt;TODAY()),TODAY()-F182,"")</f>
        <v/>
      </c>
      <c r="I182" s="16"/>
    </row>
    <row r="183" customFormat="false" ht="15" hidden="false" customHeight="false" outlineLevel="0" collapsed="false">
      <c r="A183" s="15"/>
      <c r="B183" s="16"/>
      <c r="C183" s="13" t="str">
        <f aca="false">IFERROR(IF(B183="","",VLOOKUP(B183,Inventory!A:B,2,FALSE())),"")</f>
        <v/>
      </c>
      <c r="D183" s="16"/>
      <c r="E183" s="16"/>
      <c r="F183" s="15"/>
      <c r="G183" s="15"/>
      <c r="H183" s="17" t="str">
        <f aca="true">IF(AND(A183&lt;&gt;"",G183="",F183&lt;&gt;"",F183&lt;TODAY()),TODAY()-F183,"")</f>
        <v/>
      </c>
      <c r="I183" s="16"/>
    </row>
    <row r="184" customFormat="false" ht="15" hidden="false" customHeight="false" outlineLevel="0" collapsed="false">
      <c r="A184" s="15"/>
      <c r="B184" s="16"/>
      <c r="C184" s="13" t="str">
        <f aca="false">IFERROR(IF(B184="","",VLOOKUP(B184,Inventory!A:B,2,FALSE())),"")</f>
        <v/>
      </c>
      <c r="D184" s="16"/>
      <c r="E184" s="16"/>
      <c r="F184" s="15"/>
      <c r="G184" s="15"/>
      <c r="H184" s="17" t="str">
        <f aca="true">IF(AND(A184&lt;&gt;"",G184="",F184&lt;&gt;"",F184&lt;TODAY()),TODAY()-F184,"")</f>
        <v/>
      </c>
      <c r="I184" s="16"/>
    </row>
    <row r="185" customFormat="false" ht="15" hidden="false" customHeight="false" outlineLevel="0" collapsed="false">
      <c r="A185" s="15"/>
      <c r="B185" s="16"/>
      <c r="C185" s="13" t="str">
        <f aca="false">IFERROR(IF(B185="","",VLOOKUP(B185,Inventory!A:B,2,FALSE())),"")</f>
        <v/>
      </c>
      <c r="D185" s="16"/>
      <c r="E185" s="16"/>
      <c r="F185" s="15"/>
      <c r="G185" s="15"/>
      <c r="H185" s="17" t="str">
        <f aca="true">IF(AND(A185&lt;&gt;"",G185="",F185&lt;&gt;"",F185&lt;TODAY()),TODAY()-F185,"")</f>
        <v/>
      </c>
      <c r="I185" s="16"/>
    </row>
    <row r="186" customFormat="false" ht="15" hidden="false" customHeight="false" outlineLevel="0" collapsed="false">
      <c r="A186" s="15"/>
      <c r="B186" s="16"/>
      <c r="C186" s="13" t="str">
        <f aca="false">IFERROR(IF(B186="","",VLOOKUP(B186,Inventory!A:B,2,FALSE())),"")</f>
        <v/>
      </c>
      <c r="D186" s="16"/>
      <c r="E186" s="16"/>
      <c r="F186" s="15"/>
      <c r="G186" s="15"/>
      <c r="H186" s="17" t="str">
        <f aca="true">IF(AND(A186&lt;&gt;"",G186="",F186&lt;&gt;"",F186&lt;TODAY()),TODAY()-F186,"")</f>
        <v/>
      </c>
      <c r="I186" s="16"/>
    </row>
    <row r="187" customFormat="false" ht="15" hidden="false" customHeight="false" outlineLevel="0" collapsed="false">
      <c r="A187" s="15"/>
      <c r="B187" s="16"/>
      <c r="C187" s="13" t="str">
        <f aca="false">IFERROR(IF(B187="","",VLOOKUP(B187,Inventory!A:B,2,FALSE())),"")</f>
        <v/>
      </c>
      <c r="D187" s="16"/>
      <c r="E187" s="16"/>
      <c r="F187" s="15"/>
      <c r="G187" s="15"/>
      <c r="H187" s="17" t="str">
        <f aca="true">IF(AND(A187&lt;&gt;"",G187="",F187&lt;&gt;"",F187&lt;TODAY()),TODAY()-F187,"")</f>
        <v/>
      </c>
      <c r="I187" s="16"/>
    </row>
    <row r="188" customFormat="false" ht="15" hidden="false" customHeight="false" outlineLevel="0" collapsed="false">
      <c r="A188" s="15"/>
      <c r="B188" s="16"/>
      <c r="C188" s="13" t="str">
        <f aca="false">IFERROR(IF(B188="","",VLOOKUP(B188,Inventory!A:B,2,FALSE())),"")</f>
        <v/>
      </c>
      <c r="D188" s="16"/>
      <c r="E188" s="16"/>
      <c r="F188" s="15"/>
      <c r="G188" s="15"/>
      <c r="H188" s="17" t="str">
        <f aca="true">IF(AND(A188&lt;&gt;"",G188="",F188&lt;&gt;"",F188&lt;TODAY()),TODAY()-F188,"")</f>
        <v/>
      </c>
      <c r="I188" s="16"/>
    </row>
    <row r="189" customFormat="false" ht="15" hidden="false" customHeight="false" outlineLevel="0" collapsed="false">
      <c r="A189" s="15"/>
      <c r="B189" s="16"/>
      <c r="C189" s="13" t="str">
        <f aca="false">IFERROR(IF(B189="","",VLOOKUP(B189,Inventory!A:B,2,FALSE())),"")</f>
        <v/>
      </c>
      <c r="D189" s="16"/>
      <c r="E189" s="16"/>
      <c r="F189" s="15"/>
      <c r="G189" s="15"/>
      <c r="H189" s="17" t="str">
        <f aca="true">IF(AND(A189&lt;&gt;"",G189="",F189&lt;&gt;"",F189&lt;TODAY()),TODAY()-F189,"")</f>
        <v/>
      </c>
      <c r="I189" s="16"/>
    </row>
    <row r="190" customFormat="false" ht="15" hidden="false" customHeight="false" outlineLevel="0" collapsed="false">
      <c r="A190" s="15"/>
      <c r="B190" s="16"/>
      <c r="C190" s="13" t="str">
        <f aca="false">IFERROR(IF(B190="","",VLOOKUP(B190,Inventory!A:B,2,FALSE())),"")</f>
        <v/>
      </c>
      <c r="D190" s="16"/>
      <c r="E190" s="16"/>
      <c r="F190" s="15"/>
      <c r="G190" s="15"/>
      <c r="H190" s="17" t="str">
        <f aca="true">IF(AND(A190&lt;&gt;"",G190="",F190&lt;&gt;"",F190&lt;TODAY()),TODAY()-F190,"")</f>
        <v/>
      </c>
      <c r="I190" s="16"/>
    </row>
    <row r="191" customFormat="false" ht="15" hidden="false" customHeight="false" outlineLevel="0" collapsed="false">
      <c r="A191" s="15"/>
      <c r="B191" s="16"/>
      <c r="C191" s="13" t="str">
        <f aca="false">IFERROR(IF(B191="","",VLOOKUP(B191,Inventory!A:B,2,FALSE())),"")</f>
        <v/>
      </c>
      <c r="D191" s="16"/>
      <c r="E191" s="16"/>
      <c r="F191" s="15"/>
      <c r="G191" s="15"/>
      <c r="H191" s="17" t="str">
        <f aca="true">IF(AND(A191&lt;&gt;"",G191="",F191&lt;&gt;"",F191&lt;TODAY()),TODAY()-F191,"")</f>
        <v/>
      </c>
      <c r="I191" s="16"/>
    </row>
    <row r="192" customFormat="false" ht="15" hidden="false" customHeight="false" outlineLevel="0" collapsed="false">
      <c r="A192" s="15"/>
      <c r="B192" s="16"/>
      <c r="C192" s="13" t="str">
        <f aca="false">IFERROR(IF(B192="","",VLOOKUP(B192,Inventory!A:B,2,FALSE())),"")</f>
        <v/>
      </c>
      <c r="D192" s="16"/>
      <c r="E192" s="16"/>
      <c r="F192" s="15"/>
      <c r="G192" s="15"/>
      <c r="H192" s="17" t="str">
        <f aca="true">IF(AND(A192&lt;&gt;"",G192="",F192&lt;&gt;"",F192&lt;TODAY()),TODAY()-F192,"")</f>
        <v/>
      </c>
      <c r="I192" s="16"/>
    </row>
    <row r="193" customFormat="false" ht="15" hidden="false" customHeight="false" outlineLevel="0" collapsed="false">
      <c r="A193" s="15"/>
      <c r="B193" s="16"/>
      <c r="C193" s="13" t="str">
        <f aca="false">IFERROR(IF(B193="","",VLOOKUP(B193,Inventory!A:B,2,FALSE())),"")</f>
        <v/>
      </c>
      <c r="D193" s="16"/>
      <c r="E193" s="16"/>
      <c r="F193" s="15"/>
      <c r="G193" s="15"/>
      <c r="H193" s="17" t="str">
        <f aca="true">IF(AND(A193&lt;&gt;"",G193="",F193&lt;&gt;"",F193&lt;TODAY()),TODAY()-F193,"")</f>
        <v/>
      </c>
      <c r="I193" s="16"/>
    </row>
    <row r="194" customFormat="false" ht="15" hidden="false" customHeight="false" outlineLevel="0" collapsed="false">
      <c r="A194" s="15"/>
      <c r="B194" s="16"/>
      <c r="C194" s="13" t="str">
        <f aca="false">IFERROR(IF(B194="","",VLOOKUP(B194,Inventory!A:B,2,FALSE())),"")</f>
        <v/>
      </c>
      <c r="D194" s="16"/>
      <c r="E194" s="16"/>
      <c r="F194" s="15"/>
      <c r="G194" s="15"/>
      <c r="H194" s="17" t="str">
        <f aca="true">IF(AND(A194&lt;&gt;"",G194="",F194&lt;&gt;"",F194&lt;TODAY()),TODAY()-F194,"")</f>
        <v/>
      </c>
      <c r="I194" s="16"/>
    </row>
    <row r="195" customFormat="false" ht="15" hidden="false" customHeight="false" outlineLevel="0" collapsed="false">
      <c r="A195" s="15"/>
      <c r="B195" s="16"/>
      <c r="C195" s="13" t="str">
        <f aca="false">IFERROR(IF(B195="","",VLOOKUP(B195,Inventory!A:B,2,FALSE())),"")</f>
        <v/>
      </c>
      <c r="D195" s="16"/>
      <c r="E195" s="16"/>
      <c r="F195" s="15"/>
      <c r="G195" s="15"/>
      <c r="H195" s="17" t="str">
        <f aca="true">IF(AND(A195&lt;&gt;"",G195="",F195&lt;&gt;"",F195&lt;TODAY()),TODAY()-F195,"")</f>
        <v/>
      </c>
      <c r="I195" s="16"/>
    </row>
    <row r="196" customFormat="false" ht="15" hidden="false" customHeight="false" outlineLevel="0" collapsed="false">
      <c r="A196" s="15"/>
      <c r="B196" s="16"/>
      <c r="C196" s="13" t="str">
        <f aca="false">IFERROR(IF(B196="","",VLOOKUP(B196,Inventory!A:B,2,FALSE())),"")</f>
        <v/>
      </c>
      <c r="D196" s="16"/>
      <c r="E196" s="16"/>
      <c r="F196" s="15"/>
      <c r="G196" s="15"/>
      <c r="H196" s="17" t="str">
        <f aca="true">IF(AND(A196&lt;&gt;"",G196="",F196&lt;&gt;"",F196&lt;TODAY()),TODAY()-F196,"")</f>
        <v/>
      </c>
      <c r="I196" s="16"/>
    </row>
    <row r="197" customFormat="false" ht="15" hidden="false" customHeight="false" outlineLevel="0" collapsed="false">
      <c r="A197" s="15"/>
      <c r="B197" s="16"/>
      <c r="C197" s="13" t="str">
        <f aca="false">IFERROR(IF(B197="","",VLOOKUP(B197,Inventory!A:B,2,FALSE())),"")</f>
        <v/>
      </c>
      <c r="D197" s="16"/>
      <c r="E197" s="16"/>
      <c r="F197" s="15"/>
      <c r="G197" s="15"/>
      <c r="H197" s="17" t="str">
        <f aca="true">IF(AND(A197&lt;&gt;"",G197="",F197&lt;&gt;"",F197&lt;TODAY()),TODAY()-F197,"")</f>
        <v/>
      </c>
      <c r="I197" s="16"/>
    </row>
    <row r="198" customFormat="false" ht="15" hidden="false" customHeight="false" outlineLevel="0" collapsed="false">
      <c r="A198" s="15"/>
      <c r="B198" s="16"/>
      <c r="C198" s="13" t="str">
        <f aca="false">IFERROR(IF(B198="","",VLOOKUP(B198,Inventory!A:B,2,FALSE())),"")</f>
        <v/>
      </c>
      <c r="D198" s="16"/>
      <c r="E198" s="16"/>
      <c r="F198" s="15"/>
      <c r="G198" s="15"/>
      <c r="H198" s="17" t="str">
        <f aca="true">IF(AND(A198&lt;&gt;"",G198="",F198&lt;&gt;"",F198&lt;TODAY()),TODAY()-F198,"")</f>
        <v/>
      </c>
      <c r="I198" s="16"/>
    </row>
    <row r="199" customFormat="false" ht="15" hidden="false" customHeight="false" outlineLevel="0" collapsed="false">
      <c r="A199" s="15"/>
      <c r="B199" s="16"/>
      <c r="C199" s="13" t="str">
        <f aca="false">IFERROR(IF(B199="","",VLOOKUP(B199,Inventory!A:B,2,FALSE())),"")</f>
        <v/>
      </c>
      <c r="D199" s="16"/>
      <c r="E199" s="16"/>
      <c r="F199" s="15"/>
      <c r="G199" s="15"/>
      <c r="H199" s="17" t="str">
        <f aca="true">IF(AND(A199&lt;&gt;"",G199="",F199&lt;&gt;"",F199&lt;TODAY()),TODAY()-F199,"")</f>
        <v/>
      </c>
      <c r="I199" s="16"/>
    </row>
    <row r="200" customFormat="false" ht="15" hidden="false" customHeight="false" outlineLevel="0" collapsed="false">
      <c r="A200" s="15"/>
      <c r="B200" s="16"/>
      <c r="C200" s="13" t="str">
        <f aca="false">IFERROR(IF(B200="","",VLOOKUP(B200,Inventory!A:B,2,FALSE())),"")</f>
        <v/>
      </c>
      <c r="D200" s="16"/>
      <c r="E200" s="16"/>
      <c r="F200" s="15"/>
      <c r="G200" s="15"/>
      <c r="H200" s="17" t="str">
        <f aca="true">IF(AND(A200&lt;&gt;"",G200="",F200&lt;&gt;"",F200&lt;TODAY()),TODAY()-F200,"")</f>
        <v/>
      </c>
      <c r="I200" s="16"/>
    </row>
    <row r="201" customFormat="false" ht="15" hidden="false" customHeight="false" outlineLevel="0" collapsed="false">
      <c r="A201" s="15"/>
      <c r="B201" s="16"/>
      <c r="C201" s="13" t="str">
        <f aca="false">IFERROR(IF(B201="","",VLOOKUP(B201,Inventory!A:B,2,FALSE())),"")</f>
        <v/>
      </c>
      <c r="D201" s="16"/>
      <c r="E201" s="16"/>
      <c r="F201" s="15"/>
      <c r="G201" s="15"/>
      <c r="H201" s="17" t="str">
        <f aca="true">IF(AND(A201&lt;&gt;"",G201="",F201&lt;&gt;"",F201&lt;TODAY()),TODAY()-F201,"")</f>
        <v/>
      </c>
      <c r="I201" s="16"/>
    </row>
    <row r="202" customFormat="false" ht="15" hidden="false" customHeight="false" outlineLevel="0" collapsed="false">
      <c r="A202" s="15"/>
      <c r="B202" s="16"/>
      <c r="C202" s="13" t="str">
        <f aca="false">IFERROR(IF(B202="","",VLOOKUP(B202,Inventory!A:B,2,FALSE())),"")</f>
        <v/>
      </c>
      <c r="D202" s="16"/>
      <c r="E202" s="16"/>
      <c r="F202" s="15"/>
      <c r="G202" s="15"/>
      <c r="H202" s="17" t="str">
        <f aca="true">IF(AND(A202&lt;&gt;"",G202="",F202&lt;&gt;"",F202&lt;TODAY()),TODAY()-F202,"")</f>
        <v/>
      </c>
      <c r="I202" s="16"/>
    </row>
    <row r="203" customFormat="false" ht="15" hidden="false" customHeight="false" outlineLevel="0" collapsed="false">
      <c r="A203" s="15"/>
      <c r="B203" s="16"/>
      <c r="C203" s="13" t="str">
        <f aca="false">IFERROR(IF(B203="","",VLOOKUP(B203,Inventory!A:B,2,FALSE())),"")</f>
        <v/>
      </c>
      <c r="D203" s="16"/>
      <c r="E203" s="16"/>
      <c r="F203" s="15"/>
      <c r="G203" s="15"/>
      <c r="H203" s="17" t="str">
        <f aca="true">IF(AND(A203&lt;&gt;"",G203="",F203&lt;&gt;"",F203&lt;TODAY()),TODAY()-F203,"")</f>
        <v/>
      </c>
      <c r="I203" s="16"/>
    </row>
    <row r="204" customFormat="false" ht="15" hidden="false" customHeight="false" outlineLevel="0" collapsed="false">
      <c r="A204" s="15"/>
      <c r="B204" s="16"/>
      <c r="C204" s="13" t="str">
        <f aca="false">IFERROR(IF(B204="","",VLOOKUP(B204,Inventory!A:B,2,FALSE())),"")</f>
        <v/>
      </c>
      <c r="D204" s="16"/>
      <c r="E204" s="16"/>
      <c r="F204" s="15"/>
      <c r="G204" s="15"/>
      <c r="H204" s="17" t="str">
        <f aca="true">IF(AND(A204&lt;&gt;"",G204="",F204&lt;&gt;"",F204&lt;TODAY()),TODAY()-F204,"")</f>
        <v/>
      </c>
      <c r="I204" s="16"/>
    </row>
    <row r="205" customFormat="false" ht="15" hidden="false" customHeight="false" outlineLevel="0" collapsed="false">
      <c r="A205" s="15"/>
      <c r="B205" s="16"/>
      <c r="C205" s="13" t="str">
        <f aca="false">IFERROR(IF(B205="","",VLOOKUP(B205,Inventory!A:B,2,FALSE())),"")</f>
        <v/>
      </c>
      <c r="D205" s="16"/>
      <c r="E205" s="16"/>
      <c r="F205" s="15"/>
      <c r="G205" s="15"/>
      <c r="H205" s="17" t="str">
        <f aca="true">IF(AND(A205&lt;&gt;"",G205="",F205&lt;&gt;"",F205&lt;TODAY()),TODAY()-F205,"")</f>
        <v/>
      </c>
      <c r="I205" s="16"/>
    </row>
    <row r="206" customFormat="false" ht="15" hidden="false" customHeight="false" outlineLevel="0" collapsed="false">
      <c r="A206" s="15"/>
      <c r="B206" s="16"/>
      <c r="C206" s="13" t="str">
        <f aca="false">IFERROR(IF(B206="","",VLOOKUP(B206,Inventory!A:B,2,FALSE())),"")</f>
        <v/>
      </c>
      <c r="D206" s="16"/>
      <c r="E206" s="16"/>
      <c r="F206" s="15"/>
      <c r="G206" s="15"/>
      <c r="H206" s="17" t="str">
        <f aca="true">IF(AND(A206&lt;&gt;"",G206="",F206&lt;&gt;"",F206&lt;TODAY()),TODAY()-F206,"")</f>
        <v/>
      </c>
      <c r="I206" s="16"/>
    </row>
    <row r="207" customFormat="false" ht="15" hidden="false" customHeight="false" outlineLevel="0" collapsed="false">
      <c r="A207" s="15"/>
      <c r="B207" s="16"/>
      <c r="C207" s="13" t="str">
        <f aca="false">IFERROR(IF(B207="","",VLOOKUP(B207,Inventory!A:B,2,FALSE())),"")</f>
        <v/>
      </c>
      <c r="D207" s="16"/>
      <c r="E207" s="16"/>
      <c r="F207" s="15"/>
      <c r="G207" s="15"/>
      <c r="H207" s="17" t="str">
        <f aca="true">IF(AND(A207&lt;&gt;"",G207="",F207&lt;&gt;"",F207&lt;TODAY()),TODAY()-F207,"")</f>
        <v/>
      </c>
      <c r="I207" s="16"/>
    </row>
    <row r="208" customFormat="false" ht="15" hidden="false" customHeight="false" outlineLevel="0" collapsed="false">
      <c r="A208" s="15"/>
      <c r="B208" s="16"/>
      <c r="C208" s="13" t="str">
        <f aca="false">IFERROR(IF(B208="","",VLOOKUP(B208,Inventory!A:B,2,FALSE())),"")</f>
        <v/>
      </c>
      <c r="D208" s="16"/>
      <c r="E208" s="16"/>
      <c r="F208" s="15"/>
      <c r="G208" s="15"/>
      <c r="H208" s="17" t="str">
        <f aca="true">IF(AND(A208&lt;&gt;"",G208="",F208&lt;&gt;"",F208&lt;TODAY()),TODAY()-F208,"")</f>
        <v/>
      </c>
      <c r="I208" s="16"/>
    </row>
    <row r="209" customFormat="false" ht="15" hidden="false" customHeight="false" outlineLevel="0" collapsed="false">
      <c r="A209" s="15"/>
      <c r="B209" s="16"/>
      <c r="C209" s="13" t="str">
        <f aca="false">IFERROR(IF(B209="","",VLOOKUP(B209,Inventory!A:B,2,FALSE())),"")</f>
        <v/>
      </c>
      <c r="D209" s="16"/>
      <c r="E209" s="16"/>
      <c r="F209" s="15"/>
      <c r="G209" s="15"/>
      <c r="H209" s="17" t="str">
        <f aca="true">IF(AND(A209&lt;&gt;"",G209="",F209&lt;&gt;"",F209&lt;TODAY()),TODAY()-F209,"")</f>
        <v/>
      </c>
      <c r="I209" s="16"/>
    </row>
    <row r="210" customFormat="false" ht="15" hidden="false" customHeight="false" outlineLevel="0" collapsed="false">
      <c r="A210" s="15"/>
      <c r="B210" s="16"/>
      <c r="C210" s="13" t="str">
        <f aca="false">IFERROR(IF(B210="","",VLOOKUP(B210,Inventory!A:B,2,FALSE())),"")</f>
        <v/>
      </c>
      <c r="D210" s="16"/>
      <c r="E210" s="16"/>
      <c r="F210" s="15"/>
      <c r="G210" s="15"/>
      <c r="H210" s="17" t="str">
        <f aca="true">IF(AND(A210&lt;&gt;"",G210="",F210&lt;&gt;"",F210&lt;TODAY()),TODAY()-F210,"")</f>
        <v/>
      </c>
      <c r="I210" s="16"/>
    </row>
    <row r="211" customFormat="false" ht="15" hidden="false" customHeight="false" outlineLevel="0" collapsed="false">
      <c r="A211" s="15"/>
      <c r="B211" s="16"/>
      <c r="C211" s="13" t="str">
        <f aca="false">IFERROR(IF(B211="","",VLOOKUP(B211,Inventory!A:B,2,FALSE())),"")</f>
        <v/>
      </c>
      <c r="D211" s="16"/>
      <c r="E211" s="16"/>
      <c r="F211" s="15"/>
      <c r="G211" s="15"/>
      <c r="H211" s="17" t="str">
        <f aca="true">IF(AND(A211&lt;&gt;"",G211="",F211&lt;&gt;"",F211&lt;TODAY()),TODAY()-F211,"")</f>
        <v/>
      </c>
      <c r="I211" s="16"/>
    </row>
    <row r="212" customFormat="false" ht="15" hidden="false" customHeight="false" outlineLevel="0" collapsed="false">
      <c r="A212" s="15"/>
      <c r="B212" s="16"/>
      <c r="C212" s="13" t="str">
        <f aca="false">IFERROR(IF(B212="","",VLOOKUP(B212,Inventory!A:B,2,FALSE())),"")</f>
        <v/>
      </c>
      <c r="D212" s="16"/>
      <c r="E212" s="16"/>
      <c r="F212" s="15"/>
      <c r="G212" s="15"/>
      <c r="H212" s="17" t="str">
        <f aca="true">IF(AND(A212&lt;&gt;"",G212="",F212&lt;&gt;"",F212&lt;TODAY()),TODAY()-F212,"")</f>
        <v/>
      </c>
      <c r="I212" s="16"/>
    </row>
    <row r="213" customFormat="false" ht="15" hidden="false" customHeight="false" outlineLevel="0" collapsed="false">
      <c r="A213" s="15"/>
      <c r="B213" s="16"/>
      <c r="C213" s="13" t="str">
        <f aca="false">IFERROR(IF(B213="","",VLOOKUP(B213,Inventory!A:B,2,FALSE())),"")</f>
        <v/>
      </c>
      <c r="D213" s="16"/>
      <c r="E213" s="16"/>
      <c r="F213" s="15"/>
      <c r="G213" s="15"/>
      <c r="H213" s="17" t="str">
        <f aca="true">IF(AND(A213&lt;&gt;"",G213="",F213&lt;&gt;"",F213&lt;TODAY()),TODAY()-F213,"")</f>
        <v/>
      </c>
      <c r="I213" s="16"/>
    </row>
    <row r="214" customFormat="false" ht="15" hidden="false" customHeight="false" outlineLevel="0" collapsed="false">
      <c r="A214" s="15"/>
      <c r="B214" s="16"/>
      <c r="C214" s="13" t="str">
        <f aca="false">IFERROR(IF(B214="","",VLOOKUP(B214,Inventory!A:B,2,FALSE())),"")</f>
        <v/>
      </c>
      <c r="D214" s="16"/>
      <c r="E214" s="16"/>
      <c r="F214" s="15"/>
      <c r="G214" s="15"/>
      <c r="H214" s="17" t="str">
        <f aca="true">IF(AND(A214&lt;&gt;"",G214="",F214&lt;&gt;"",F214&lt;TODAY()),TODAY()-F214,"")</f>
        <v/>
      </c>
      <c r="I214" s="16"/>
    </row>
    <row r="215" customFormat="false" ht="15" hidden="false" customHeight="false" outlineLevel="0" collapsed="false">
      <c r="A215" s="15"/>
      <c r="B215" s="16"/>
      <c r="C215" s="13" t="str">
        <f aca="false">IFERROR(IF(B215="","",VLOOKUP(B215,Inventory!A:B,2,FALSE())),"")</f>
        <v/>
      </c>
      <c r="D215" s="16"/>
      <c r="E215" s="16"/>
      <c r="F215" s="15"/>
      <c r="G215" s="15"/>
      <c r="H215" s="17" t="str">
        <f aca="true">IF(AND(A215&lt;&gt;"",G215="",F215&lt;&gt;"",F215&lt;TODAY()),TODAY()-F215,"")</f>
        <v/>
      </c>
      <c r="I215" s="16"/>
    </row>
    <row r="216" customFormat="false" ht="15" hidden="false" customHeight="false" outlineLevel="0" collapsed="false">
      <c r="A216" s="15"/>
      <c r="B216" s="16"/>
      <c r="C216" s="13" t="str">
        <f aca="false">IFERROR(IF(B216="","",VLOOKUP(B216,Inventory!A:B,2,FALSE())),"")</f>
        <v/>
      </c>
      <c r="D216" s="16"/>
      <c r="E216" s="16"/>
      <c r="F216" s="15"/>
      <c r="G216" s="15"/>
      <c r="H216" s="17" t="str">
        <f aca="true">IF(AND(A216&lt;&gt;"",G216="",F216&lt;&gt;"",F216&lt;TODAY()),TODAY()-F216,"")</f>
        <v/>
      </c>
      <c r="I216" s="16"/>
    </row>
    <row r="217" customFormat="false" ht="15" hidden="false" customHeight="false" outlineLevel="0" collapsed="false">
      <c r="A217" s="15"/>
      <c r="B217" s="16"/>
      <c r="C217" s="13" t="str">
        <f aca="false">IFERROR(IF(B217="","",VLOOKUP(B217,Inventory!A:B,2,FALSE())),"")</f>
        <v/>
      </c>
      <c r="D217" s="16"/>
      <c r="E217" s="16"/>
      <c r="F217" s="15"/>
      <c r="G217" s="15"/>
      <c r="H217" s="17" t="str">
        <f aca="true">IF(AND(A217&lt;&gt;"",G217="",F217&lt;&gt;"",F217&lt;TODAY()),TODAY()-F217,"")</f>
        <v/>
      </c>
      <c r="I217" s="16"/>
    </row>
    <row r="218" customFormat="false" ht="15" hidden="false" customHeight="false" outlineLevel="0" collapsed="false">
      <c r="A218" s="15"/>
      <c r="B218" s="16"/>
      <c r="C218" s="13" t="str">
        <f aca="false">IFERROR(IF(B218="","",VLOOKUP(B218,Inventory!A:B,2,FALSE())),"")</f>
        <v/>
      </c>
      <c r="D218" s="16"/>
      <c r="E218" s="16"/>
      <c r="F218" s="15"/>
      <c r="G218" s="15"/>
      <c r="H218" s="17" t="str">
        <f aca="true">IF(AND(A218&lt;&gt;"",G218="",F218&lt;&gt;"",F218&lt;TODAY()),TODAY()-F218,"")</f>
        <v/>
      </c>
      <c r="I218" s="16"/>
    </row>
    <row r="219" customFormat="false" ht="15" hidden="false" customHeight="false" outlineLevel="0" collapsed="false">
      <c r="A219" s="15"/>
      <c r="B219" s="16"/>
      <c r="C219" s="13" t="str">
        <f aca="false">IFERROR(IF(B219="","",VLOOKUP(B219,Inventory!A:B,2,FALSE())),"")</f>
        <v/>
      </c>
      <c r="D219" s="16"/>
      <c r="E219" s="16"/>
      <c r="F219" s="15"/>
      <c r="G219" s="15"/>
      <c r="H219" s="17" t="str">
        <f aca="true">IF(AND(A219&lt;&gt;"",G219="",F219&lt;&gt;"",F219&lt;TODAY()),TODAY()-F219,"")</f>
        <v/>
      </c>
      <c r="I219" s="16"/>
    </row>
    <row r="220" customFormat="false" ht="15" hidden="false" customHeight="false" outlineLevel="0" collapsed="false">
      <c r="A220" s="15"/>
      <c r="B220" s="16"/>
      <c r="C220" s="13" t="str">
        <f aca="false">IFERROR(IF(B220="","",VLOOKUP(B220,Inventory!A:B,2,FALSE())),"")</f>
        <v/>
      </c>
      <c r="D220" s="16"/>
      <c r="E220" s="16"/>
      <c r="F220" s="15"/>
      <c r="G220" s="15"/>
      <c r="H220" s="17" t="str">
        <f aca="true">IF(AND(A220&lt;&gt;"",G220="",F220&lt;&gt;"",F220&lt;TODAY()),TODAY()-F220,"")</f>
        <v/>
      </c>
      <c r="I220" s="16"/>
    </row>
    <row r="221" customFormat="false" ht="15" hidden="false" customHeight="false" outlineLevel="0" collapsed="false">
      <c r="A221" s="15"/>
      <c r="B221" s="16"/>
      <c r="C221" s="13" t="str">
        <f aca="false">IFERROR(IF(B221="","",VLOOKUP(B221,Inventory!A:B,2,FALSE())),"")</f>
        <v/>
      </c>
      <c r="D221" s="16"/>
      <c r="E221" s="16"/>
      <c r="F221" s="15"/>
      <c r="G221" s="15"/>
      <c r="H221" s="17" t="str">
        <f aca="true">IF(AND(A221&lt;&gt;"",G221="",F221&lt;&gt;"",F221&lt;TODAY()),TODAY()-F221,"")</f>
        <v/>
      </c>
      <c r="I221" s="16"/>
    </row>
    <row r="222" customFormat="false" ht="15" hidden="false" customHeight="false" outlineLevel="0" collapsed="false">
      <c r="A222" s="15"/>
      <c r="B222" s="16"/>
      <c r="C222" s="13" t="str">
        <f aca="false">IFERROR(IF(B222="","",VLOOKUP(B222,Inventory!A:B,2,FALSE())),"")</f>
        <v/>
      </c>
      <c r="D222" s="16"/>
      <c r="E222" s="16"/>
      <c r="F222" s="15"/>
      <c r="G222" s="15"/>
      <c r="H222" s="17" t="str">
        <f aca="true">IF(AND(A222&lt;&gt;"",G222="",F222&lt;&gt;"",F222&lt;TODAY()),TODAY()-F222,"")</f>
        <v/>
      </c>
      <c r="I222" s="16"/>
    </row>
    <row r="223" customFormat="false" ht="15" hidden="false" customHeight="false" outlineLevel="0" collapsed="false">
      <c r="A223" s="15"/>
      <c r="B223" s="16"/>
      <c r="C223" s="13" t="str">
        <f aca="false">IFERROR(IF(B223="","",VLOOKUP(B223,Inventory!A:B,2,FALSE())),"")</f>
        <v/>
      </c>
      <c r="D223" s="16"/>
      <c r="E223" s="16"/>
      <c r="F223" s="15"/>
      <c r="G223" s="15"/>
      <c r="H223" s="17" t="str">
        <f aca="true">IF(AND(A223&lt;&gt;"",G223="",F223&lt;&gt;"",F223&lt;TODAY()),TODAY()-F223,"")</f>
        <v/>
      </c>
      <c r="I223" s="16"/>
    </row>
    <row r="224" customFormat="false" ht="15" hidden="false" customHeight="false" outlineLevel="0" collapsed="false">
      <c r="A224" s="15"/>
      <c r="B224" s="16"/>
      <c r="C224" s="13" t="str">
        <f aca="false">IFERROR(IF(B224="","",VLOOKUP(B224,Inventory!A:B,2,FALSE())),"")</f>
        <v/>
      </c>
      <c r="D224" s="16"/>
      <c r="E224" s="16"/>
      <c r="F224" s="15"/>
      <c r="G224" s="15"/>
      <c r="H224" s="17" t="str">
        <f aca="true">IF(AND(A224&lt;&gt;"",G224="",F224&lt;&gt;"",F224&lt;TODAY()),TODAY()-F224,"")</f>
        <v/>
      </c>
      <c r="I224" s="16"/>
    </row>
    <row r="225" customFormat="false" ht="15" hidden="false" customHeight="false" outlineLevel="0" collapsed="false">
      <c r="A225" s="15"/>
      <c r="B225" s="16"/>
      <c r="C225" s="13" t="str">
        <f aca="false">IFERROR(IF(B225="","",VLOOKUP(B225,Inventory!A:B,2,FALSE())),"")</f>
        <v/>
      </c>
      <c r="D225" s="16"/>
      <c r="E225" s="16"/>
      <c r="F225" s="15"/>
      <c r="G225" s="15"/>
      <c r="H225" s="17" t="str">
        <f aca="true">IF(AND(A225&lt;&gt;"",G225="",F225&lt;&gt;"",F225&lt;TODAY()),TODAY()-F225,"")</f>
        <v/>
      </c>
      <c r="I225" s="16"/>
    </row>
    <row r="226" customFormat="false" ht="15" hidden="false" customHeight="false" outlineLevel="0" collapsed="false">
      <c r="A226" s="15"/>
      <c r="B226" s="16"/>
      <c r="C226" s="13" t="str">
        <f aca="false">IFERROR(IF(B226="","",VLOOKUP(B226,Inventory!A:B,2,FALSE())),"")</f>
        <v/>
      </c>
      <c r="D226" s="16"/>
      <c r="E226" s="16"/>
      <c r="F226" s="15"/>
      <c r="G226" s="15"/>
      <c r="H226" s="17" t="str">
        <f aca="true">IF(AND(A226&lt;&gt;"",G226="",F226&lt;&gt;"",F226&lt;TODAY()),TODAY()-F226,"")</f>
        <v/>
      </c>
      <c r="I226" s="16"/>
    </row>
    <row r="227" customFormat="false" ht="15" hidden="false" customHeight="false" outlineLevel="0" collapsed="false">
      <c r="A227" s="15"/>
      <c r="B227" s="16"/>
      <c r="C227" s="13" t="str">
        <f aca="false">IFERROR(IF(B227="","",VLOOKUP(B227,Inventory!A:B,2,FALSE())),"")</f>
        <v/>
      </c>
      <c r="D227" s="16"/>
      <c r="E227" s="16"/>
      <c r="F227" s="15"/>
      <c r="G227" s="15"/>
      <c r="H227" s="17" t="str">
        <f aca="true">IF(AND(A227&lt;&gt;"",G227="",F227&lt;&gt;"",F227&lt;TODAY()),TODAY()-F227,"")</f>
        <v/>
      </c>
      <c r="I227" s="16"/>
    </row>
    <row r="228" customFormat="false" ht="15" hidden="false" customHeight="false" outlineLevel="0" collapsed="false">
      <c r="A228" s="15"/>
      <c r="B228" s="16"/>
      <c r="C228" s="13" t="str">
        <f aca="false">IFERROR(IF(B228="","",VLOOKUP(B228,Inventory!A:B,2,FALSE())),"")</f>
        <v/>
      </c>
      <c r="D228" s="16"/>
      <c r="E228" s="16"/>
      <c r="F228" s="15"/>
      <c r="G228" s="15"/>
      <c r="H228" s="17" t="str">
        <f aca="true">IF(AND(A228&lt;&gt;"",G228="",F228&lt;&gt;"",F228&lt;TODAY()),TODAY()-F228,"")</f>
        <v/>
      </c>
      <c r="I228" s="16"/>
    </row>
    <row r="229" customFormat="false" ht="15" hidden="false" customHeight="false" outlineLevel="0" collapsed="false">
      <c r="A229" s="15"/>
      <c r="B229" s="16"/>
      <c r="C229" s="13" t="str">
        <f aca="false">IFERROR(IF(B229="","",VLOOKUP(B229,Inventory!A:B,2,FALSE())),"")</f>
        <v/>
      </c>
      <c r="D229" s="16"/>
      <c r="E229" s="16"/>
      <c r="F229" s="15"/>
      <c r="G229" s="15"/>
      <c r="H229" s="17" t="str">
        <f aca="true">IF(AND(A229&lt;&gt;"",G229="",F229&lt;&gt;"",F229&lt;TODAY()),TODAY()-F229,"")</f>
        <v/>
      </c>
      <c r="I229" s="16"/>
    </row>
    <row r="230" customFormat="false" ht="15" hidden="false" customHeight="false" outlineLevel="0" collapsed="false">
      <c r="A230" s="15"/>
      <c r="B230" s="16"/>
      <c r="C230" s="13" t="str">
        <f aca="false">IFERROR(IF(B230="","",VLOOKUP(B230,Inventory!A:B,2,FALSE())),"")</f>
        <v/>
      </c>
      <c r="D230" s="16"/>
      <c r="E230" s="16"/>
      <c r="F230" s="15"/>
      <c r="G230" s="15"/>
      <c r="H230" s="17" t="str">
        <f aca="true">IF(AND(A230&lt;&gt;"",G230="",F230&lt;&gt;"",F230&lt;TODAY()),TODAY()-F230,"")</f>
        <v/>
      </c>
      <c r="I230" s="16"/>
    </row>
    <row r="231" customFormat="false" ht="15" hidden="false" customHeight="false" outlineLevel="0" collapsed="false">
      <c r="A231" s="15"/>
      <c r="B231" s="16"/>
      <c r="C231" s="13" t="str">
        <f aca="false">IFERROR(IF(B231="","",VLOOKUP(B231,Inventory!A:B,2,FALSE())),"")</f>
        <v/>
      </c>
      <c r="D231" s="16"/>
      <c r="E231" s="16"/>
      <c r="F231" s="15"/>
      <c r="G231" s="15"/>
      <c r="H231" s="17" t="str">
        <f aca="true">IF(AND(A231&lt;&gt;"",G231="",F231&lt;&gt;"",F231&lt;TODAY()),TODAY()-F231,"")</f>
        <v/>
      </c>
      <c r="I231" s="16"/>
    </row>
    <row r="232" customFormat="false" ht="15" hidden="false" customHeight="false" outlineLevel="0" collapsed="false">
      <c r="A232" s="15"/>
      <c r="B232" s="16"/>
      <c r="C232" s="13" t="str">
        <f aca="false">IFERROR(IF(B232="","",VLOOKUP(B232,Inventory!A:B,2,FALSE())),"")</f>
        <v/>
      </c>
      <c r="D232" s="16"/>
      <c r="E232" s="16"/>
      <c r="F232" s="15"/>
      <c r="G232" s="15"/>
      <c r="H232" s="17" t="str">
        <f aca="true">IF(AND(A232&lt;&gt;"",G232="",F232&lt;&gt;"",F232&lt;TODAY()),TODAY()-F232,"")</f>
        <v/>
      </c>
      <c r="I232" s="16"/>
    </row>
    <row r="233" customFormat="false" ht="15" hidden="false" customHeight="false" outlineLevel="0" collapsed="false">
      <c r="A233" s="15"/>
      <c r="B233" s="16"/>
      <c r="C233" s="13" t="str">
        <f aca="false">IFERROR(IF(B233="","",VLOOKUP(B233,Inventory!A:B,2,FALSE())),"")</f>
        <v/>
      </c>
      <c r="D233" s="16"/>
      <c r="E233" s="16"/>
      <c r="F233" s="15"/>
      <c r="G233" s="15"/>
      <c r="H233" s="17" t="str">
        <f aca="true">IF(AND(A233&lt;&gt;"",G233="",F233&lt;&gt;"",F233&lt;TODAY()),TODAY()-F233,"")</f>
        <v/>
      </c>
      <c r="I233" s="16"/>
    </row>
    <row r="234" customFormat="false" ht="15" hidden="false" customHeight="false" outlineLevel="0" collapsed="false">
      <c r="A234" s="15"/>
      <c r="B234" s="16"/>
      <c r="C234" s="13" t="str">
        <f aca="false">IFERROR(IF(B234="","",VLOOKUP(B234,Inventory!A:B,2,FALSE())),"")</f>
        <v/>
      </c>
      <c r="D234" s="16"/>
      <c r="E234" s="16"/>
      <c r="F234" s="15"/>
      <c r="G234" s="15"/>
      <c r="H234" s="17" t="str">
        <f aca="true">IF(AND(A234&lt;&gt;"",G234="",F234&lt;&gt;"",F234&lt;TODAY()),TODAY()-F234,"")</f>
        <v/>
      </c>
      <c r="I234" s="16"/>
    </row>
    <row r="235" customFormat="false" ht="15" hidden="false" customHeight="false" outlineLevel="0" collapsed="false">
      <c r="A235" s="15"/>
      <c r="B235" s="16"/>
      <c r="C235" s="13" t="str">
        <f aca="false">IFERROR(IF(B235="","",VLOOKUP(B235,Inventory!A:B,2,FALSE())),"")</f>
        <v/>
      </c>
      <c r="D235" s="16"/>
      <c r="E235" s="16"/>
      <c r="F235" s="15"/>
      <c r="G235" s="15"/>
      <c r="H235" s="17" t="str">
        <f aca="true">IF(AND(A235&lt;&gt;"",G235="",F235&lt;&gt;"",F235&lt;TODAY()),TODAY()-F235,"")</f>
        <v/>
      </c>
      <c r="I235" s="16"/>
    </row>
    <row r="236" customFormat="false" ht="15" hidden="false" customHeight="false" outlineLevel="0" collapsed="false">
      <c r="A236" s="15"/>
      <c r="B236" s="16"/>
      <c r="C236" s="13" t="str">
        <f aca="false">IFERROR(IF(B236="","",VLOOKUP(B236,Inventory!A:B,2,FALSE())),"")</f>
        <v/>
      </c>
      <c r="D236" s="16"/>
      <c r="E236" s="16"/>
      <c r="F236" s="15"/>
      <c r="G236" s="15"/>
      <c r="H236" s="17" t="str">
        <f aca="true">IF(AND(A236&lt;&gt;"",G236="",F236&lt;&gt;"",F236&lt;TODAY()),TODAY()-F236,"")</f>
        <v/>
      </c>
      <c r="I236" s="16"/>
    </row>
    <row r="237" customFormat="false" ht="15" hidden="false" customHeight="false" outlineLevel="0" collapsed="false">
      <c r="A237" s="15"/>
      <c r="B237" s="16"/>
      <c r="C237" s="13" t="str">
        <f aca="false">IFERROR(IF(B237="","",VLOOKUP(B237,Inventory!A:B,2,FALSE())),"")</f>
        <v/>
      </c>
      <c r="D237" s="16"/>
      <c r="E237" s="16"/>
      <c r="F237" s="15"/>
      <c r="G237" s="15"/>
      <c r="H237" s="17" t="str">
        <f aca="true">IF(AND(A237&lt;&gt;"",G237="",F237&lt;&gt;"",F237&lt;TODAY()),TODAY()-F237,"")</f>
        <v/>
      </c>
      <c r="I237" s="16"/>
    </row>
    <row r="238" customFormat="false" ht="15" hidden="false" customHeight="false" outlineLevel="0" collapsed="false">
      <c r="A238" s="15"/>
      <c r="B238" s="16"/>
      <c r="C238" s="13" t="str">
        <f aca="false">IFERROR(IF(B238="","",VLOOKUP(B238,Inventory!A:B,2,FALSE())),"")</f>
        <v/>
      </c>
      <c r="D238" s="16"/>
      <c r="E238" s="16"/>
      <c r="F238" s="15"/>
      <c r="G238" s="15"/>
      <c r="H238" s="17" t="str">
        <f aca="true">IF(AND(A238&lt;&gt;"",G238="",F238&lt;&gt;"",F238&lt;TODAY()),TODAY()-F238,"")</f>
        <v/>
      </c>
      <c r="I238" s="16"/>
    </row>
    <row r="239" customFormat="false" ht="15" hidden="false" customHeight="false" outlineLevel="0" collapsed="false">
      <c r="A239" s="15"/>
      <c r="B239" s="16"/>
      <c r="C239" s="13" t="str">
        <f aca="false">IFERROR(IF(B239="","",VLOOKUP(B239,Inventory!A:B,2,FALSE())),"")</f>
        <v/>
      </c>
      <c r="D239" s="16"/>
      <c r="E239" s="16"/>
      <c r="F239" s="15"/>
      <c r="G239" s="15"/>
      <c r="H239" s="17" t="str">
        <f aca="true">IF(AND(A239&lt;&gt;"",G239="",F239&lt;&gt;"",F239&lt;TODAY()),TODAY()-F239,"")</f>
        <v/>
      </c>
      <c r="I239" s="16"/>
    </row>
    <row r="240" customFormat="false" ht="15" hidden="false" customHeight="false" outlineLevel="0" collapsed="false">
      <c r="A240" s="15"/>
      <c r="B240" s="16"/>
      <c r="C240" s="13" t="str">
        <f aca="false">IFERROR(IF(B240="","",VLOOKUP(B240,Inventory!A:B,2,FALSE())),"")</f>
        <v/>
      </c>
      <c r="D240" s="16"/>
      <c r="E240" s="16"/>
      <c r="F240" s="15"/>
      <c r="G240" s="15"/>
      <c r="H240" s="17" t="str">
        <f aca="true">IF(AND(A240&lt;&gt;"",G240="",F240&lt;&gt;"",F240&lt;TODAY()),TODAY()-F240,"")</f>
        <v/>
      </c>
      <c r="I240" s="16"/>
    </row>
    <row r="241" customFormat="false" ht="15" hidden="false" customHeight="false" outlineLevel="0" collapsed="false">
      <c r="A241" s="15"/>
      <c r="B241" s="16"/>
      <c r="C241" s="13" t="str">
        <f aca="false">IFERROR(IF(B241="","",VLOOKUP(B241,Inventory!A:B,2,FALSE())),"")</f>
        <v/>
      </c>
      <c r="D241" s="16"/>
      <c r="E241" s="16"/>
      <c r="F241" s="15"/>
      <c r="G241" s="15"/>
      <c r="H241" s="17" t="str">
        <f aca="true">IF(AND(A241&lt;&gt;"",G241="",F241&lt;&gt;"",F241&lt;TODAY()),TODAY()-F241,"")</f>
        <v/>
      </c>
      <c r="I241" s="16"/>
    </row>
    <row r="242" customFormat="false" ht="15" hidden="false" customHeight="false" outlineLevel="0" collapsed="false">
      <c r="A242" s="15"/>
      <c r="B242" s="16"/>
      <c r="C242" s="13" t="str">
        <f aca="false">IFERROR(IF(B242="","",VLOOKUP(B242,Inventory!A:B,2,FALSE())),"")</f>
        <v/>
      </c>
      <c r="D242" s="16"/>
      <c r="E242" s="16"/>
      <c r="F242" s="15"/>
      <c r="G242" s="15"/>
      <c r="H242" s="17" t="str">
        <f aca="true">IF(AND(A242&lt;&gt;"",G242="",F242&lt;&gt;"",F242&lt;TODAY()),TODAY()-F242,"")</f>
        <v/>
      </c>
      <c r="I242" s="16"/>
    </row>
    <row r="243" customFormat="false" ht="15" hidden="false" customHeight="false" outlineLevel="0" collapsed="false">
      <c r="A243" s="15"/>
      <c r="B243" s="16"/>
      <c r="C243" s="13" t="str">
        <f aca="false">IFERROR(IF(B243="","",VLOOKUP(B243,Inventory!A:B,2,FALSE())),"")</f>
        <v/>
      </c>
      <c r="D243" s="16"/>
      <c r="E243" s="16"/>
      <c r="F243" s="15"/>
      <c r="G243" s="15"/>
      <c r="H243" s="17" t="str">
        <f aca="true">IF(AND(A243&lt;&gt;"",G243="",F243&lt;&gt;"",F243&lt;TODAY()),TODAY()-F243,"")</f>
        <v/>
      </c>
      <c r="I243" s="16"/>
    </row>
    <row r="244" customFormat="false" ht="15" hidden="false" customHeight="false" outlineLevel="0" collapsed="false">
      <c r="A244" s="15"/>
      <c r="B244" s="16"/>
      <c r="C244" s="13" t="str">
        <f aca="false">IFERROR(IF(B244="","",VLOOKUP(B244,Inventory!A:B,2,FALSE())),"")</f>
        <v/>
      </c>
      <c r="D244" s="16"/>
      <c r="E244" s="16"/>
      <c r="F244" s="15"/>
      <c r="G244" s="15"/>
      <c r="H244" s="17" t="str">
        <f aca="true">IF(AND(A244&lt;&gt;"",G244="",F244&lt;&gt;"",F244&lt;TODAY()),TODAY()-F244,"")</f>
        <v/>
      </c>
      <c r="I244" s="16"/>
    </row>
    <row r="245" customFormat="false" ht="15" hidden="false" customHeight="false" outlineLevel="0" collapsed="false">
      <c r="A245" s="15"/>
      <c r="B245" s="16"/>
      <c r="C245" s="13" t="str">
        <f aca="false">IFERROR(IF(B245="","",VLOOKUP(B245,Inventory!A:B,2,FALSE())),"")</f>
        <v/>
      </c>
      <c r="D245" s="16"/>
      <c r="E245" s="16"/>
      <c r="F245" s="15"/>
      <c r="G245" s="15"/>
      <c r="H245" s="17" t="str">
        <f aca="true">IF(AND(A245&lt;&gt;"",G245="",F245&lt;&gt;"",F245&lt;TODAY()),TODAY()-F245,"")</f>
        <v/>
      </c>
      <c r="I245" s="16"/>
    </row>
    <row r="246" customFormat="false" ht="15" hidden="false" customHeight="false" outlineLevel="0" collapsed="false">
      <c r="A246" s="15"/>
      <c r="B246" s="16"/>
      <c r="C246" s="13" t="str">
        <f aca="false">IFERROR(IF(B246="","",VLOOKUP(B246,Inventory!A:B,2,FALSE())),"")</f>
        <v/>
      </c>
      <c r="D246" s="16"/>
      <c r="E246" s="16"/>
      <c r="F246" s="15"/>
      <c r="G246" s="15"/>
      <c r="H246" s="17" t="str">
        <f aca="true">IF(AND(A246&lt;&gt;"",G246="",F246&lt;&gt;"",F246&lt;TODAY()),TODAY()-F246,"")</f>
        <v/>
      </c>
      <c r="I246" s="16"/>
    </row>
    <row r="247" customFormat="false" ht="15" hidden="false" customHeight="false" outlineLevel="0" collapsed="false">
      <c r="A247" s="15"/>
      <c r="B247" s="16"/>
      <c r="C247" s="13" t="str">
        <f aca="false">IFERROR(IF(B247="","",VLOOKUP(B247,Inventory!A:B,2,FALSE())),"")</f>
        <v/>
      </c>
      <c r="D247" s="16"/>
      <c r="E247" s="16"/>
      <c r="F247" s="15"/>
      <c r="G247" s="15"/>
      <c r="H247" s="17" t="str">
        <f aca="true">IF(AND(A247&lt;&gt;"",G247="",F247&lt;&gt;"",F247&lt;TODAY()),TODAY()-F247,"")</f>
        <v/>
      </c>
      <c r="I247" s="16"/>
    </row>
    <row r="248" customFormat="false" ht="15" hidden="false" customHeight="false" outlineLevel="0" collapsed="false">
      <c r="A248" s="15"/>
      <c r="B248" s="16"/>
      <c r="C248" s="13" t="str">
        <f aca="false">IFERROR(IF(B248="","",VLOOKUP(B248,Inventory!A:B,2,FALSE())),"")</f>
        <v/>
      </c>
      <c r="D248" s="16"/>
      <c r="E248" s="16"/>
      <c r="F248" s="15"/>
      <c r="G248" s="15"/>
      <c r="H248" s="17" t="str">
        <f aca="true">IF(AND(A248&lt;&gt;"",G248="",F248&lt;&gt;"",F248&lt;TODAY()),TODAY()-F248,"")</f>
        <v/>
      </c>
      <c r="I248" s="16"/>
    </row>
    <row r="249" customFormat="false" ht="15" hidden="false" customHeight="false" outlineLevel="0" collapsed="false">
      <c r="A249" s="15"/>
      <c r="B249" s="16"/>
      <c r="C249" s="13" t="str">
        <f aca="false">IFERROR(IF(B249="","",VLOOKUP(B249,Inventory!A:B,2,FALSE())),"")</f>
        <v/>
      </c>
      <c r="D249" s="16"/>
      <c r="E249" s="16"/>
      <c r="F249" s="15"/>
      <c r="G249" s="15"/>
      <c r="H249" s="17" t="str">
        <f aca="true">IF(AND(A249&lt;&gt;"",G249="",F249&lt;&gt;"",F249&lt;TODAY()),TODAY()-F249,"")</f>
        <v/>
      </c>
      <c r="I249" s="16"/>
    </row>
    <row r="250" customFormat="false" ht="15" hidden="false" customHeight="false" outlineLevel="0" collapsed="false">
      <c r="A250" s="15"/>
      <c r="B250" s="16"/>
      <c r="C250" s="13" t="str">
        <f aca="false">IFERROR(IF(B250="","",VLOOKUP(B250,Inventory!A:B,2,FALSE())),"")</f>
        <v/>
      </c>
      <c r="D250" s="16"/>
      <c r="E250" s="16"/>
      <c r="F250" s="15"/>
      <c r="G250" s="15"/>
      <c r="H250" s="17" t="str">
        <f aca="true">IF(AND(A250&lt;&gt;"",G250="",F250&lt;&gt;"",F250&lt;TODAY()),TODAY()-F250,"")</f>
        <v/>
      </c>
      <c r="I250" s="16"/>
    </row>
    <row r="251" customFormat="false" ht="15" hidden="false" customHeight="false" outlineLevel="0" collapsed="false">
      <c r="A251" s="15"/>
      <c r="B251" s="16"/>
      <c r="C251" s="13" t="str">
        <f aca="false">IFERROR(IF(B251="","",VLOOKUP(B251,Inventory!A:B,2,FALSE())),"")</f>
        <v/>
      </c>
      <c r="D251" s="16"/>
      <c r="E251" s="16"/>
      <c r="F251" s="15"/>
      <c r="G251" s="15"/>
      <c r="H251" s="17" t="str">
        <f aca="true">IF(AND(A251&lt;&gt;"",G251="",F251&lt;&gt;"",F251&lt;TODAY()),TODAY()-F251,"")</f>
        <v/>
      </c>
      <c r="I251" s="16"/>
    </row>
    <row r="252" customFormat="false" ht="15" hidden="false" customHeight="false" outlineLevel="0" collapsed="false">
      <c r="A252" s="15"/>
      <c r="B252" s="16"/>
      <c r="C252" s="13" t="str">
        <f aca="false">IFERROR(IF(B252="","",VLOOKUP(B252,Inventory!A:B,2,FALSE())),"")</f>
        <v/>
      </c>
      <c r="D252" s="16"/>
      <c r="E252" s="16"/>
      <c r="F252" s="15"/>
      <c r="G252" s="15"/>
      <c r="H252" s="17" t="str">
        <f aca="true">IF(AND(A252&lt;&gt;"",G252="",F252&lt;&gt;"",F252&lt;TODAY()),TODAY()-F252,"")</f>
        <v/>
      </c>
      <c r="I252" s="16"/>
    </row>
    <row r="253" customFormat="false" ht="15" hidden="false" customHeight="false" outlineLevel="0" collapsed="false">
      <c r="A253" s="15"/>
      <c r="B253" s="16"/>
      <c r="C253" s="13" t="str">
        <f aca="false">IFERROR(IF(B253="","",VLOOKUP(B253,Inventory!A:B,2,FALSE())),"")</f>
        <v/>
      </c>
      <c r="D253" s="16"/>
      <c r="E253" s="16"/>
      <c r="F253" s="15"/>
      <c r="G253" s="15"/>
      <c r="H253" s="17" t="str">
        <f aca="true">IF(AND(A253&lt;&gt;"",G253="",F253&lt;&gt;"",F253&lt;TODAY()),TODAY()-F253,"")</f>
        <v/>
      </c>
      <c r="I253" s="16"/>
    </row>
    <row r="254" customFormat="false" ht="15" hidden="false" customHeight="false" outlineLevel="0" collapsed="false">
      <c r="A254" s="15"/>
      <c r="B254" s="16"/>
      <c r="C254" s="13" t="str">
        <f aca="false">IFERROR(IF(B254="","",VLOOKUP(B254,Inventory!A:B,2,FALSE())),"")</f>
        <v/>
      </c>
      <c r="D254" s="16"/>
      <c r="E254" s="16"/>
      <c r="F254" s="15"/>
      <c r="G254" s="15"/>
      <c r="H254" s="17" t="str">
        <f aca="true">IF(AND(A254&lt;&gt;"",G254="",F254&lt;&gt;"",F254&lt;TODAY()),TODAY()-F254,"")</f>
        <v/>
      </c>
      <c r="I254" s="16"/>
    </row>
    <row r="255" customFormat="false" ht="15" hidden="false" customHeight="false" outlineLevel="0" collapsed="false">
      <c r="A255" s="15"/>
      <c r="B255" s="16"/>
      <c r="C255" s="13" t="str">
        <f aca="false">IFERROR(IF(B255="","",VLOOKUP(B255,Inventory!A:B,2,FALSE())),"")</f>
        <v/>
      </c>
      <c r="D255" s="16"/>
      <c r="E255" s="16"/>
      <c r="F255" s="15"/>
      <c r="G255" s="15"/>
      <c r="H255" s="17" t="str">
        <f aca="true">IF(AND(A255&lt;&gt;"",G255="",F255&lt;&gt;"",F255&lt;TODAY()),TODAY()-F255,"")</f>
        <v/>
      </c>
      <c r="I255" s="16"/>
    </row>
    <row r="256" customFormat="false" ht="15" hidden="false" customHeight="false" outlineLevel="0" collapsed="false">
      <c r="A256" s="15"/>
      <c r="B256" s="16"/>
      <c r="C256" s="13" t="str">
        <f aca="false">IFERROR(IF(B256="","",VLOOKUP(B256,Inventory!A:B,2,FALSE())),"")</f>
        <v/>
      </c>
      <c r="D256" s="16"/>
      <c r="E256" s="16"/>
      <c r="F256" s="15"/>
      <c r="G256" s="15"/>
      <c r="H256" s="17" t="str">
        <f aca="true">IF(AND(A256&lt;&gt;"",G256="",F256&lt;&gt;"",F256&lt;TODAY()),TODAY()-F256,"")</f>
        <v/>
      </c>
      <c r="I256" s="16"/>
    </row>
    <row r="257" customFormat="false" ht="15" hidden="false" customHeight="false" outlineLevel="0" collapsed="false">
      <c r="A257" s="15"/>
      <c r="B257" s="16"/>
      <c r="C257" s="13" t="str">
        <f aca="false">IFERROR(IF(B257="","",VLOOKUP(B257,Inventory!A:B,2,FALSE())),"")</f>
        <v/>
      </c>
      <c r="D257" s="16"/>
      <c r="E257" s="16"/>
      <c r="F257" s="15"/>
      <c r="G257" s="15"/>
      <c r="H257" s="17" t="str">
        <f aca="true">IF(AND(A257&lt;&gt;"",G257="",F257&lt;&gt;"",F257&lt;TODAY()),TODAY()-F257,"")</f>
        <v/>
      </c>
      <c r="I257" s="16"/>
    </row>
    <row r="258" customFormat="false" ht="15" hidden="false" customHeight="false" outlineLevel="0" collapsed="false">
      <c r="A258" s="15"/>
      <c r="B258" s="16"/>
      <c r="C258" s="13" t="str">
        <f aca="false">IFERROR(IF(B258="","",VLOOKUP(B258,Inventory!A:B,2,FALSE())),"")</f>
        <v/>
      </c>
      <c r="D258" s="16"/>
      <c r="E258" s="16"/>
      <c r="F258" s="15"/>
      <c r="G258" s="15"/>
      <c r="H258" s="17" t="str">
        <f aca="true">IF(AND(A258&lt;&gt;"",G258="",F258&lt;&gt;"",F258&lt;TODAY()),TODAY()-F258,"")</f>
        <v/>
      </c>
      <c r="I258" s="16"/>
    </row>
    <row r="259" customFormat="false" ht="15" hidden="false" customHeight="false" outlineLevel="0" collapsed="false">
      <c r="A259" s="15"/>
      <c r="B259" s="16"/>
      <c r="C259" s="13" t="str">
        <f aca="false">IFERROR(IF(B259="","",VLOOKUP(B259,Inventory!A:B,2,FALSE())),"")</f>
        <v/>
      </c>
      <c r="D259" s="16"/>
      <c r="E259" s="16"/>
      <c r="F259" s="15"/>
      <c r="G259" s="15"/>
      <c r="H259" s="17" t="str">
        <f aca="true">IF(AND(A259&lt;&gt;"",G259="",F259&lt;&gt;"",F259&lt;TODAY()),TODAY()-F259,"")</f>
        <v/>
      </c>
      <c r="I259" s="16"/>
    </row>
    <row r="260" customFormat="false" ht="15" hidden="false" customHeight="false" outlineLevel="0" collapsed="false">
      <c r="A260" s="15"/>
      <c r="B260" s="16"/>
      <c r="C260" s="13" t="str">
        <f aca="false">IFERROR(IF(B260="","",VLOOKUP(B260,Inventory!A:B,2,FALSE())),"")</f>
        <v/>
      </c>
      <c r="D260" s="16"/>
      <c r="E260" s="16"/>
      <c r="F260" s="15"/>
      <c r="G260" s="15"/>
      <c r="H260" s="17" t="str">
        <f aca="true">IF(AND(A260&lt;&gt;"",G260="",F260&lt;&gt;"",F260&lt;TODAY()),TODAY()-F260,"")</f>
        <v/>
      </c>
      <c r="I260" s="16"/>
    </row>
    <row r="261" customFormat="false" ht="15" hidden="false" customHeight="false" outlineLevel="0" collapsed="false">
      <c r="A261" s="15"/>
      <c r="B261" s="16"/>
      <c r="C261" s="13" t="str">
        <f aca="false">IFERROR(IF(B261="","",VLOOKUP(B261,Inventory!A:B,2,FALSE())),"")</f>
        <v/>
      </c>
      <c r="D261" s="16"/>
      <c r="E261" s="16"/>
      <c r="F261" s="15"/>
      <c r="G261" s="15"/>
      <c r="H261" s="17" t="str">
        <f aca="true">IF(AND(A261&lt;&gt;"",G261="",F261&lt;&gt;"",F261&lt;TODAY()),TODAY()-F261,"")</f>
        <v/>
      </c>
      <c r="I261" s="16"/>
    </row>
    <row r="262" customFormat="false" ht="15" hidden="false" customHeight="false" outlineLevel="0" collapsed="false">
      <c r="A262" s="15"/>
      <c r="B262" s="16"/>
      <c r="C262" s="13" t="str">
        <f aca="false">IFERROR(IF(B262="","",VLOOKUP(B262,Inventory!A:B,2,FALSE())),"")</f>
        <v/>
      </c>
      <c r="D262" s="16"/>
      <c r="E262" s="16"/>
      <c r="F262" s="15"/>
      <c r="G262" s="15"/>
      <c r="H262" s="17" t="str">
        <f aca="true">IF(AND(A262&lt;&gt;"",G262="",F262&lt;&gt;"",F262&lt;TODAY()),TODAY()-F262,"")</f>
        <v/>
      </c>
      <c r="I262" s="16"/>
    </row>
    <row r="263" customFormat="false" ht="15" hidden="false" customHeight="false" outlineLevel="0" collapsed="false">
      <c r="A263" s="15"/>
      <c r="B263" s="16"/>
      <c r="C263" s="13" t="str">
        <f aca="false">IFERROR(IF(B263="","",VLOOKUP(B263,Inventory!A:B,2,FALSE())),"")</f>
        <v/>
      </c>
      <c r="D263" s="16"/>
      <c r="E263" s="16"/>
      <c r="F263" s="15"/>
      <c r="G263" s="15"/>
      <c r="H263" s="17" t="str">
        <f aca="true">IF(AND(A263&lt;&gt;"",G263="",F263&lt;&gt;"",F263&lt;TODAY()),TODAY()-F263,"")</f>
        <v/>
      </c>
      <c r="I263" s="16"/>
    </row>
    <row r="264" customFormat="false" ht="15" hidden="false" customHeight="false" outlineLevel="0" collapsed="false">
      <c r="A264" s="15"/>
      <c r="B264" s="16"/>
      <c r="C264" s="13" t="str">
        <f aca="false">IFERROR(IF(B264="","",VLOOKUP(B264,Inventory!A:B,2,FALSE())),"")</f>
        <v/>
      </c>
      <c r="D264" s="16"/>
      <c r="E264" s="16"/>
      <c r="F264" s="15"/>
      <c r="G264" s="15"/>
      <c r="H264" s="17" t="str">
        <f aca="true">IF(AND(A264&lt;&gt;"",G264="",F264&lt;&gt;"",F264&lt;TODAY()),TODAY()-F264,"")</f>
        <v/>
      </c>
      <c r="I264" s="16"/>
    </row>
    <row r="265" customFormat="false" ht="15" hidden="false" customHeight="false" outlineLevel="0" collapsed="false">
      <c r="A265" s="15"/>
      <c r="B265" s="16"/>
      <c r="C265" s="13" t="str">
        <f aca="false">IFERROR(IF(B265="","",VLOOKUP(B265,Inventory!A:B,2,FALSE())),"")</f>
        <v/>
      </c>
      <c r="D265" s="16"/>
      <c r="E265" s="16"/>
      <c r="F265" s="15"/>
      <c r="G265" s="15"/>
      <c r="H265" s="17" t="str">
        <f aca="true">IF(AND(A265&lt;&gt;"",G265="",F265&lt;&gt;"",F265&lt;TODAY()),TODAY()-F265,"")</f>
        <v/>
      </c>
      <c r="I265" s="16"/>
    </row>
    <row r="266" customFormat="false" ht="15" hidden="false" customHeight="false" outlineLevel="0" collapsed="false">
      <c r="A266" s="15"/>
      <c r="B266" s="16"/>
      <c r="C266" s="13" t="str">
        <f aca="false">IFERROR(IF(B266="","",VLOOKUP(B266,Inventory!A:B,2,FALSE())),"")</f>
        <v/>
      </c>
      <c r="D266" s="16"/>
      <c r="E266" s="16"/>
      <c r="F266" s="15"/>
      <c r="G266" s="15"/>
      <c r="H266" s="17" t="str">
        <f aca="true">IF(AND(A266&lt;&gt;"",G266="",F266&lt;&gt;"",F266&lt;TODAY()),TODAY()-F266,"")</f>
        <v/>
      </c>
      <c r="I266" s="16"/>
    </row>
    <row r="267" customFormat="false" ht="15" hidden="false" customHeight="false" outlineLevel="0" collapsed="false">
      <c r="A267" s="15"/>
      <c r="B267" s="16"/>
      <c r="C267" s="13" t="str">
        <f aca="false">IFERROR(IF(B267="","",VLOOKUP(B267,Inventory!A:B,2,FALSE())),"")</f>
        <v/>
      </c>
      <c r="D267" s="16"/>
      <c r="E267" s="16"/>
      <c r="F267" s="15"/>
      <c r="G267" s="15"/>
      <c r="H267" s="17" t="str">
        <f aca="true">IF(AND(A267&lt;&gt;"",G267="",F267&lt;&gt;"",F267&lt;TODAY()),TODAY()-F267,"")</f>
        <v/>
      </c>
      <c r="I267" s="16"/>
    </row>
    <row r="268" customFormat="false" ht="15" hidden="false" customHeight="false" outlineLevel="0" collapsed="false">
      <c r="A268" s="15"/>
      <c r="B268" s="16"/>
      <c r="C268" s="13" t="str">
        <f aca="false">IFERROR(IF(B268="","",VLOOKUP(B268,Inventory!A:B,2,FALSE())),"")</f>
        <v/>
      </c>
      <c r="D268" s="16"/>
      <c r="E268" s="16"/>
      <c r="F268" s="15"/>
      <c r="G268" s="15"/>
      <c r="H268" s="17" t="str">
        <f aca="true">IF(AND(A268&lt;&gt;"",G268="",F268&lt;&gt;"",F268&lt;TODAY()),TODAY()-F268,"")</f>
        <v/>
      </c>
      <c r="I268" s="16"/>
    </row>
    <row r="269" customFormat="false" ht="15" hidden="false" customHeight="false" outlineLevel="0" collapsed="false">
      <c r="A269" s="15"/>
      <c r="B269" s="16"/>
      <c r="C269" s="13" t="str">
        <f aca="false">IFERROR(IF(B269="","",VLOOKUP(B269,Inventory!A:B,2,FALSE())),"")</f>
        <v/>
      </c>
      <c r="D269" s="16"/>
      <c r="E269" s="16"/>
      <c r="F269" s="15"/>
      <c r="G269" s="15"/>
      <c r="H269" s="17" t="str">
        <f aca="true">IF(AND(A269&lt;&gt;"",G269="",F269&lt;&gt;"",F269&lt;TODAY()),TODAY()-F269,"")</f>
        <v/>
      </c>
      <c r="I269" s="16"/>
    </row>
    <row r="270" customFormat="false" ht="15" hidden="false" customHeight="false" outlineLevel="0" collapsed="false">
      <c r="A270" s="15"/>
      <c r="B270" s="16"/>
      <c r="C270" s="13" t="str">
        <f aca="false">IFERROR(IF(B270="","",VLOOKUP(B270,Inventory!A:B,2,FALSE())),"")</f>
        <v/>
      </c>
      <c r="D270" s="16"/>
      <c r="E270" s="16"/>
      <c r="F270" s="15"/>
      <c r="G270" s="15"/>
      <c r="H270" s="17" t="str">
        <f aca="true">IF(AND(A270&lt;&gt;"",G270="",F270&lt;&gt;"",F270&lt;TODAY()),TODAY()-F270,"")</f>
        <v/>
      </c>
      <c r="I270" s="16"/>
    </row>
    <row r="271" customFormat="false" ht="15" hidden="false" customHeight="false" outlineLevel="0" collapsed="false">
      <c r="A271" s="15"/>
      <c r="B271" s="16"/>
      <c r="C271" s="13" t="str">
        <f aca="false">IFERROR(IF(B271="","",VLOOKUP(B271,Inventory!A:B,2,FALSE())),"")</f>
        <v/>
      </c>
      <c r="D271" s="16"/>
      <c r="E271" s="16"/>
      <c r="F271" s="15"/>
      <c r="G271" s="15"/>
      <c r="H271" s="17" t="str">
        <f aca="true">IF(AND(A271&lt;&gt;"",G271="",F271&lt;&gt;"",F271&lt;TODAY()),TODAY()-F271,"")</f>
        <v/>
      </c>
      <c r="I271" s="16"/>
    </row>
    <row r="272" customFormat="false" ht="15" hidden="false" customHeight="false" outlineLevel="0" collapsed="false">
      <c r="A272" s="15"/>
      <c r="B272" s="16"/>
      <c r="C272" s="13" t="str">
        <f aca="false">IFERROR(IF(B272="","",VLOOKUP(B272,Inventory!A:B,2,FALSE())),"")</f>
        <v/>
      </c>
      <c r="D272" s="16"/>
      <c r="E272" s="16"/>
      <c r="F272" s="15"/>
      <c r="G272" s="15"/>
      <c r="H272" s="17" t="str">
        <f aca="true">IF(AND(A272&lt;&gt;"",G272="",F272&lt;&gt;"",F272&lt;TODAY()),TODAY()-F272,"")</f>
        <v/>
      </c>
      <c r="I272" s="16"/>
    </row>
    <row r="273" customFormat="false" ht="15" hidden="false" customHeight="false" outlineLevel="0" collapsed="false">
      <c r="A273" s="15"/>
      <c r="B273" s="16"/>
      <c r="C273" s="13" t="str">
        <f aca="false">IFERROR(IF(B273="","",VLOOKUP(B273,Inventory!A:B,2,FALSE())),"")</f>
        <v/>
      </c>
      <c r="D273" s="16"/>
      <c r="E273" s="16"/>
      <c r="F273" s="15"/>
      <c r="G273" s="15"/>
      <c r="H273" s="17" t="str">
        <f aca="true">IF(AND(A273&lt;&gt;"",G273="",F273&lt;&gt;"",F273&lt;TODAY()),TODAY()-F273,"")</f>
        <v/>
      </c>
      <c r="I273" s="16"/>
    </row>
    <row r="274" customFormat="false" ht="15" hidden="false" customHeight="false" outlineLevel="0" collapsed="false">
      <c r="A274" s="15"/>
      <c r="B274" s="16"/>
      <c r="C274" s="13" t="str">
        <f aca="false">IFERROR(IF(B274="","",VLOOKUP(B274,Inventory!A:B,2,FALSE())),"")</f>
        <v/>
      </c>
      <c r="D274" s="16"/>
      <c r="E274" s="16"/>
      <c r="F274" s="15"/>
      <c r="G274" s="15"/>
      <c r="H274" s="17" t="str">
        <f aca="true">IF(AND(A274&lt;&gt;"",G274="",F274&lt;&gt;"",F274&lt;TODAY()),TODAY()-F274,"")</f>
        <v/>
      </c>
      <c r="I274" s="16"/>
    </row>
    <row r="275" customFormat="false" ht="15" hidden="false" customHeight="false" outlineLevel="0" collapsed="false">
      <c r="A275" s="15"/>
      <c r="B275" s="16"/>
      <c r="C275" s="13" t="str">
        <f aca="false">IFERROR(IF(B275="","",VLOOKUP(B275,Inventory!A:B,2,FALSE())),"")</f>
        <v/>
      </c>
      <c r="D275" s="16"/>
      <c r="E275" s="16"/>
      <c r="F275" s="15"/>
      <c r="G275" s="15"/>
      <c r="H275" s="17" t="str">
        <f aca="true">IF(AND(A275&lt;&gt;"",G275="",F275&lt;&gt;"",F275&lt;TODAY()),TODAY()-F275,"")</f>
        <v/>
      </c>
      <c r="I275" s="16"/>
    </row>
    <row r="276" customFormat="false" ht="15" hidden="false" customHeight="false" outlineLevel="0" collapsed="false">
      <c r="A276" s="15"/>
      <c r="B276" s="16"/>
      <c r="C276" s="13" t="str">
        <f aca="false">IFERROR(IF(B276="","",VLOOKUP(B276,Inventory!A:B,2,FALSE())),"")</f>
        <v/>
      </c>
      <c r="D276" s="16"/>
      <c r="E276" s="16"/>
      <c r="F276" s="15"/>
      <c r="G276" s="15"/>
      <c r="H276" s="17" t="str">
        <f aca="true">IF(AND(A276&lt;&gt;"",G276="",F276&lt;&gt;"",F276&lt;TODAY()),TODAY()-F276,"")</f>
        <v/>
      </c>
      <c r="I276" s="16"/>
    </row>
    <row r="277" customFormat="false" ht="15" hidden="false" customHeight="false" outlineLevel="0" collapsed="false">
      <c r="A277" s="15"/>
      <c r="B277" s="16"/>
      <c r="C277" s="13" t="str">
        <f aca="false">IFERROR(IF(B277="","",VLOOKUP(B277,Inventory!A:B,2,FALSE())),"")</f>
        <v/>
      </c>
      <c r="D277" s="16"/>
      <c r="E277" s="16"/>
      <c r="F277" s="15"/>
      <c r="G277" s="15"/>
      <c r="H277" s="17" t="str">
        <f aca="true">IF(AND(A277&lt;&gt;"",G277="",F277&lt;&gt;"",F277&lt;TODAY()),TODAY()-F277,"")</f>
        <v/>
      </c>
      <c r="I277" s="16"/>
    </row>
    <row r="278" customFormat="false" ht="15" hidden="false" customHeight="false" outlineLevel="0" collapsed="false">
      <c r="A278" s="15"/>
      <c r="B278" s="16"/>
      <c r="C278" s="13" t="str">
        <f aca="false">IFERROR(IF(B278="","",VLOOKUP(B278,Inventory!A:B,2,FALSE())),"")</f>
        <v/>
      </c>
      <c r="D278" s="16"/>
      <c r="E278" s="16"/>
      <c r="F278" s="15"/>
      <c r="G278" s="15"/>
      <c r="H278" s="17" t="str">
        <f aca="true">IF(AND(A278&lt;&gt;"",G278="",F278&lt;&gt;"",F278&lt;TODAY()),TODAY()-F278,"")</f>
        <v/>
      </c>
      <c r="I278" s="16"/>
    </row>
    <row r="279" customFormat="false" ht="15" hidden="false" customHeight="false" outlineLevel="0" collapsed="false">
      <c r="A279" s="15"/>
      <c r="B279" s="16"/>
      <c r="C279" s="13" t="str">
        <f aca="false">IFERROR(IF(B279="","",VLOOKUP(B279,Inventory!A:B,2,FALSE())),"")</f>
        <v/>
      </c>
      <c r="D279" s="16"/>
      <c r="E279" s="16"/>
      <c r="F279" s="15"/>
      <c r="G279" s="15"/>
      <c r="H279" s="17" t="str">
        <f aca="true">IF(AND(A279&lt;&gt;"",G279="",F279&lt;&gt;"",F279&lt;TODAY()),TODAY()-F279,"")</f>
        <v/>
      </c>
      <c r="I279" s="16"/>
    </row>
    <row r="280" customFormat="false" ht="15" hidden="false" customHeight="false" outlineLevel="0" collapsed="false">
      <c r="A280" s="15"/>
      <c r="B280" s="16"/>
      <c r="C280" s="13" t="str">
        <f aca="false">IFERROR(IF(B280="","",VLOOKUP(B280,Inventory!A:B,2,FALSE())),"")</f>
        <v/>
      </c>
      <c r="D280" s="16"/>
      <c r="E280" s="16"/>
      <c r="F280" s="15"/>
      <c r="G280" s="15"/>
      <c r="H280" s="17" t="str">
        <f aca="true">IF(AND(A280&lt;&gt;"",G280="",F280&lt;&gt;"",F280&lt;TODAY()),TODAY()-F280,"")</f>
        <v/>
      </c>
      <c r="I280" s="16"/>
    </row>
    <row r="281" customFormat="false" ht="15" hidden="false" customHeight="false" outlineLevel="0" collapsed="false">
      <c r="A281" s="15"/>
      <c r="B281" s="16"/>
      <c r="C281" s="13" t="str">
        <f aca="false">IFERROR(IF(B281="","",VLOOKUP(B281,Inventory!A:B,2,FALSE())),"")</f>
        <v/>
      </c>
      <c r="D281" s="16"/>
      <c r="E281" s="16"/>
      <c r="F281" s="15"/>
      <c r="G281" s="15"/>
      <c r="H281" s="17" t="str">
        <f aca="true">IF(AND(A281&lt;&gt;"",G281="",F281&lt;&gt;"",F281&lt;TODAY()),TODAY()-F281,"")</f>
        <v/>
      </c>
      <c r="I281" s="16"/>
    </row>
    <row r="282" customFormat="false" ht="15" hidden="false" customHeight="false" outlineLevel="0" collapsed="false">
      <c r="A282" s="15"/>
      <c r="B282" s="16"/>
      <c r="C282" s="13" t="str">
        <f aca="false">IFERROR(IF(B282="","",VLOOKUP(B282,Inventory!A:B,2,FALSE())),"")</f>
        <v/>
      </c>
      <c r="D282" s="16"/>
      <c r="E282" s="16"/>
      <c r="F282" s="15"/>
      <c r="G282" s="15"/>
      <c r="H282" s="17" t="str">
        <f aca="true">IF(AND(A282&lt;&gt;"",G282="",F282&lt;&gt;"",F282&lt;TODAY()),TODAY()-F282,"")</f>
        <v/>
      </c>
      <c r="I282" s="16"/>
    </row>
    <row r="283" customFormat="false" ht="15" hidden="false" customHeight="false" outlineLevel="0" collapsed="false">
      <c r="A283" s="15"/>
      <c r="B283" s="16"/>
      <c r="C283" s="13" t="str">
        <f aca="false">IFERROR(IF(B283="","",VLOOKUP(B283,Inventory!A:B,2,FALSE())),"")</f>
        <v/>
      </c>
      <c r="D283" s="16"/>
      <c r="E283" s="16"/>
      <c r="F283" s="15"/>
      <c r="G283" s="15"/>
      <c r="H283" s="17" t="str">
        <f aca="true">IF(AND(A283&lt;&gt;"",G283="",F283&lt;&gt;"",F283&lt;TODAY()),TODAY()-F283,"")</f>
        <v/>
      </c>
      <c r="I283" s="16"/>
    </row>
    <row r="284" customFormat="false" ht="15" hidden="false" customHeight="false" outlineLevel="0" collapsed="false">
      <c r="A284" s="15"/>
      <c r="B284" s="16"/>
      <c r="C284" s="13" t="str">
        <f aca="false">IFERROR(IF(B284="","",VLOOKUP(B284,Inventory!A:B,2,FALSE())),"")</f>
        <v/>
      </c>
      <c r="D284" s="16"/>
      <c r="E284" s="16"/>
      <c r="F284" s="15"/>
      <c r="G284" s="15"/>
      <c r="H284" s="17" t="str">
        <f aca="true">IF(AND(A284&lt;&gt;"",G284="",F284&lt;&gt;"",F284&lt;TODAY()),TODAY()-F284,"")</f>
        <v/>
      </c>
      <c r="I284" s="16"/>
    </row>
    <row r="285" customFormat="false" ht="15" hidden="false" customHeight="false" outlineLevel="0" collapsed="false">
      <c r="A285" s="15"/>
      <c r="B285" s="16"/>
      <c r="C285" s="13" t="str">
        <f aca="false">IFERROR(IF(B285="","",VLOOKUP(B285,Inventory!A:B,2,FALSE())),"")</f>
        <v/>
      </c>
      <c r="D285" s="16"/>
      <c r="E285" s="16"/>
      <c r="F285" s="15"/>
      <c r="G285" s="15"/>
      <c r="H285" s="17" t="str">
        <f aca="true">IF(AND(A285&lt;&gt;"",G285="",F285&lt;&gt;"",F285&lt;TODAY()),TODAY()-F285,"")</f>
        <v/>
      </c>
      <c r="I285" s="16"/>
    </row>
    <row r="286" customFormat="false" ht="15" hidden="false" customHeight="false" outlineLevel="0" collapsed="false">
      <c r="A286" s="15"/>
      <c r="B286" s="16"/>
      <c r="C286" s="13" t="str">
        <f aca="false">IFERROR(IF(B286="","",VLOOKUP(B286,Inventory!A:B,2,FALSE())),"")</f>
        <v/>
      </c>
      <c r="D286" s="16"/>
      <c r="E286" s="16"/>
      <c r="F286" s="15"/>
      <c r="G286" s="15"/>
      <c r="H286" s="17" t="str">
        <f aca="true">IF(AND(A286&lt;&gt;"",G286="",F286&lt;&gt;"",F286&lt;TODAY()),TODAY()-F286,"")</f>
        <v/>
      </c>
      <c r="I286" s="16"/>
    </row>
    <row r="287" customFormat="false" ht="15" hidden="false" customHeight="false" outlineLevel="0" collapsed="false">
      <c r="A287" s="15"/>
      <c r="B287" s="16"/>
      <c r="C287" s="13" t="str">
        <f aca="false">IFERROR(IF(B287="","",VLOOKUP(B287,Inventory!A:B,2,FALSE())),"")</f>
        <v/>
      </c>
      <c r="D287" s="16"/>
      <c r="E287" s="16"/>
      <c r="F287" s="15"/>
      <c r="G287" s="15"/>
      <c r="H287" s="17" t="str">
        <f aca="true">IF(AND(A287&lt;&gt;"",G287="",F287&lt;&gt;"",F287&lt;TODAY()),TODAY()-F287,"")</f>
        <v/>
      </c>
      <c r="I287" s="16"/>
    </row>
    <row r="288" customFormat="false" ht="15" hidden="false" customHeight="false" outlineLevel="0" collapsed="false">
      <c r="A288" s="15"/>
      <c r="B288" s="16"/>
      <c r="C288" s="13" t="str">
        <f aca="false">IFERROR(IF(B288="","",VLOOKUP(B288,Inventory!A:B,2,FALSE())),"")</f>
        <v/>
      </c>
      <c r="D288" s="16"/>
      <c r="E288" s="16"/>
      <c r="F288" s="15"/>
      <c r="G288" s="15"/>
      <c r="H288" s="17" t="str">
        <f aca="true">IF(AND(A288&lt;&gt;"",G288="",F288&lt;&gt;"",F288&lt;TODAY()),TODAY()-F288,"")</f>
        <v/>
      </c>
      <c r="I288" s="16"/>
    </row>
    <row r="289" customFormat="false" ht="15" hidden="false" customHeight="false" outlineLevel="0" collapsed="false">
      <c r="A289" s="15"/>
      <c r="B289" s="16"/>
      <c r="C289" s="13" t="str">
        <f aca="false">IFERROR(IF(B289="","",VLOOKUP(B289,Inventory!A:B,2,FALSE())),"")</f>
        <v/>
      </c>
      <c r="D289" s="16"/>
      <c r="E289" s="16"/>
      <c r="F289" s="15"/>
      <c r="G289" s="15"/>
      <c r="H289" s="17" t="str">
        <f aca="true">IF(AND(A289&lt;&gt;"",G289="",F289&lt;&gt;"",F289&lt;TODAY()),TODAY()-F289,"")</f>
        <v/>
      </c>
      <c r="I289" s="16"/>
    </row>
    <row r="290" customFormat="false" ht="15" hidden="false" customHeight="false" outlineLevel="0" collapsed="false">
      <c r="A290" s="15"/>
      <c r="B290" s="16"/>
      <c r="C290" s="13" t="str">
        <f aca="false">IFERROR(IF(B290="","",VLOOKUP(B290,Inventory!A:B,2,FALSE())),"")</f>
        <v/>
      </c>
      <c r="D290" s="16"/>
      <c r="E290" s="16"/>
      <c r="F290" s="15"/>
      <c r="G290" s="15"/>
      <c r="H290" s="17" t="str">
        <f aca="true">IF(AND(A290&lt;&gt;"",G290="",F290&lt;&gt;"",F290&lt;TODAY()),TODAY()-F290,"")</f>
        <v/>
      </c>
      <c r="I290" s="16"/>
    </row>
    <row r="291" customFormat="false" ht="15" hidden="false" customHeight="false" outlineLevel="0" collapsed="false">
      <c r="A291" s="15"/>
      <c r="B291" s="16"/>
      <c r="C291" s="13" t="str">
        <f aca="false">IFERROR(IF(B291="","",VLOOKUP(B291,Inventory!A:B,2,FALSE())),"")</f>
        <v/>
      </c>
      <c r="D291" s="16"/>
      <c r="E291" s="16"/>
      <c r="F291" s="15"/>
      <c r="G291" s="15"/>
      <c r="H291" s="17" t="str">
        <f aca="true">IF(AND(A291&lt;&gt;"",G291="",F291&lt;&gt;"",F291&lt;TODAY()),TODAY()-F291,"")</f>
        <v/>
      </c>
      <c r="I291" s="16"/>
    </row>
    <row r="292" customFormat="false" ht="15" hidden="false" customHeight="false" outlineLevel="0" collapsed="false">
      <c r="A292" s="15"/>
      <c r="B292" s="16"/>
      <c r="C292" s="13" t="str">
        <f aca="false">IFERROR(IF(B292="","",VLOOKUP(B292,Inventory!A:B,2,FALSE())),"")</f>
        <v/>
      </c>
      <c r="D292" s="16"/>
      <c r="E292" s="16"/>
      <c r="F292" s="15"/>
      <c r="G292" s="15"/>
      <c r="H292" s="17" t="str">
        <f aca="true">IF(AND(A292&lt;&gt;"",G292="",F292&lt;&gt;"",F292&lt;TODAY()),TODAY()-F292,"")</f>
        <v/>
      </c>
      <c r="I292" s="16"/>
    </row>
    <row r="293" customFormat="false" ht="15" hidden="false" customHeight="false" outlineLevel="0" collapsed="false">
      <c r="A293" s="15"/>
      <c r="B293" s="16"/>
      <c r="C293" s="13" t="str">
        <f aca="false">IFERROR(IF(B293="","",VLOOKUP(B293,Inventory!A:B,2,FALSE())),"")</f>
        <v/>
      </c>
      <c r="D293" s="16"/>
      <c r="E293" s="16"/>
      <c r="F293" s="15"/>
      <c r="G293" s="15"/>
      <c r="H293" s="17" t="str">
        <f aca="true">IF(AND(A293&lt;&gt;"",G293="",F293&lt;&gt;"",F293&lt;TODAY()),TODAY()-F293,"")</f>
        <v/>
      </c>
      <c r="I293" s="16"/>
    </row>
    <row r="294" customFormat="false" ht="15" hidden="false" customHeight="false" outlineLevel="0" collapsed="false">
      <c r="A294" s="15"/>
      <c r="B294" s="16"/>
      <c r="C294" s="13" t="str">
        <f aca="false">IFERROR(IF(B294="","",VLOOKUP(B294,Inventory!A:B,2,FALSE())),"")</f>
        <v/>
      </c>
      <c r="D294" s="16"/>
      <c r="E294" s="16"/>
      <c r="F294" s="15"/>
      <c r="G294" s="15"/>
      <c r="H294" s="17" t="str">
        <f aca="true">IF(AND(A294&lt;&gt;"",G294="",F294&lt;&gt;"",F294&lt;TODAY()),TODAY()-F294,"")</f>
        <v/>
      </c>
      <c r="I294" s="16"/>
    </row>
    <row r="295" customFormat="false" ht="15" hidden="false" customHeight="false" outlineLevel="0" collapsed="false">
      <c r="A295" s="15"/>
      <c r="B295" s="16"/>
      <c r="C295" s="13" t="str">
        <f aca="false">IFERROR(IF(B295="","",VLOOKUP(B295,Inventory!A:B,2,FALSE())),"")</f>
        <v/>
      </c>
      <c r="D295" s="16"/>
      <c r="E295" s="16"/>
      <c r="F295" s="15"/>
      <c r="G295" s="15"/>
      <c r="H295" s="17" t="str">
        <f aca="true">IF(AND(A295&lt;&gt;"",G295="",F295&lt;&gt;"",F295&lt;TODAY()),TODAY()-F295,"")</f>
        <v/>
      </c>
      <c r="I295" s="16"/>
    </row>
    <row r="296" customFormat="false" ht="15" hidden="false" customHeight="false" outlineLevel="0" collapsed="false">
      <c r="A296" s="15"/>
      <c r="B296" s="16"/>
      <c r="C296" s="13" t="str">
        <f aca="false">IFERROR(IF(B296="","",VLOOKUP(B296,Inventory!A:B,2,FALSE())),"")</f>
        <v/>
      </c>
      <c r="D296" s="16"/>
      <c r="E296" s="16"/>
      <c r="F296" s="15"/>
      <c r="G296" s="15"/>
      <c r="H296" s="17" t="str">
        <f aca="true">IF(AND(A296&lt;&gt;"",G296="",F296&lt;&gt;"",F296&lt;TODAY()),TODAY()-F296,"")</f>
        <v/>
      </c>
      <c r="I296" s="16"/>
    </row>
    <row r="297" customFormat="false" ht="15" hidden="false" customHeight="false" outlineLevel="0" collapsed="false">
      <c r="A297" s="15"/>
      <c r="B297" s="16"/>
      <c r="C297" s="13" t="str">
        <f aca="false">IFERROR(IF(B297="","",VLOOKUP(B297,Inventory!A:B,2,FALSE())),"")</f>
        <v/>
      </c>
      <c r="D297" s="16"/>
      <c r="E297" s="16"/>
      <c r="F297" s="15"/>
      <c r="G297" s="15"/>
      <c r="H297" s="17" t="str">
        <f aca="true">IF(AND(A297&lt;&gt;"",G297="",F297&lt;&gt;"",F297&lt;TODAY()),TODAY()-F297,"")</f>
        <v/>
      </c>
      <c r="I297" s="16"/>
    </row>
    <row r="298" customFormat="false" ht="15" hidden="false" customHeight="false" outlineLevel="0" collapsed="false">
      <c r="A298" s="15"/>
      <c r="B298" s="16"/>
      <c r="C298" s="13" t="str">
        <f aca="false">IFERROR(IF(B298="","",VLOOKUP(B298,Inventory!A:B,2,FALSE())),"")</f>
        <v/>
      </c>
      <c r="D298" s="16"/>
      <c r="E298" s="16"/>
      <c r="F298" s="15"/>
      <c r="G298" s="15"/>
      <c r="H298" s="17" t="str">
        <f aca="true">IF(AND(A298&lt;&gt;"",G298="",F298&lt;&gt;"",F298&lt;TODAY()),TODAY()-F298,"")</f>
        <v/>
      </c>
      <c r="I298" s="16"/>
    </row>
    <row r="299" customFormat="false" ht="15" hidden="false" customHeight="false" outlineLevel="0" collapsed="false">
      <c r="A299" s="15"/>
      <c r="B299" s="16"/>
      <c r="C299" s="13" t="str">
        <f aca="false">IFERROR(IF(B299="","",VLOOKUP(B299,Inventory!A:B,2,FALSE())),"")</f>
        <v/>
      </c>
      <c r="D299" s="16"/>
      <c r="E299" s="16"/>
      <c r="F299" s="15"/>
      <c r="G299" s="15"/>
      <c r="H299" s="17" t="str">
        <f aca="true">IF(AND(A299&lt;&gt;"",G299="",F299&lt;&gt;"",F299&lt;TODAY()),TODAY()-F299,"")</f>
        <v/>
      </c>
      <c r="I299" s="16"/>
    </row>
    <row r="300" customFormat="false" ht="15" hidden="false" customHeight="false" outlineLevel="0" collapsed="false">
      <c r="A300" s="15"/>
      <c r="B300" s="16"/>
      <c r="C300" s="13" t="str">
        <f aca="false">IFERROR(IF(B300="","",VLOOKUP(B300,Inventory!A:B,2,FALSE())),"")</f>
        <v/>
      </c>
      <c r="D300" s="16"/>
      <c r="E300" s="16"/>
      <c r="F300" s="15"/>
      <c r="G300" s="15"/>
      <c r="H300" s="17" t="str">
        <f aca="true">IF(AND(A300&lt;&gt;"",G300="",F300&lt;&gt;"",F300&lt;TODAY()),TODAY()-F300,"")</f>
        <v/>
      </c>
      <c r="I300" s="16"/>
    </row>
    <row r="301" customFormat="false" ht="15" hidden="false" customHeight="false" outlineLevel="0" collapsed="false">
      <c r="A301" s="15"/>
      <c r="B301" s="16"/>
      <c r="C301" s="13" t="str">
        <f aca="false">IFERROR(IF(B301="","",VLOOKUP(B301,Inventory!A:B,2,FALSE())),"")</f>
        <v/>
      </c>
      <c r="D301" s="16"/>
      <c r="E301" s="16"/>
      <c r="F301" s="15"/>
      <c r="G301" s="15"/>
      <c r="H301" s="17" t="str">
        <f aca="true">IF(AND(A301&lt;&gt;"",G301="",F301&lt;&gt;"",F301&lt;TODAY()),TODAY()-F301,"")</f>
        <v/>
      </c>
      <c r="I301" s="16"/>
    </row>
    <row r="302" customFormat="false" ht="15" hidden="false" customHeight="false" outlineLevel="0" collapsed="false">
      <c r="A302" s="15"/>
      <c r="B302" s="16"/>
      <c r="C302" s="13" t="str">
        <f aca="false">IFERROR(IF(B302="","",VLOOKUP(B302,Inventory!A:B,2,FALSE())),"")</f>
        <v/>
      </c>
      <c r="D302" s="16"/>
      <c r="E302" s="16"/>
      <c r="F302" s="15"/>
      <c r="G302" s="15"/>
      <c r="H302" s="17" t="str">
        <f aca="true">IF(AND(A302&lt;&gt;"",G302="",F302&lt;&gt;"",F302&lt;TODAY()),TODAY()-F302,"")</f>
        <v/>
      </c>
      <c r="I302" s="16"/>
    </row>
    <row r="303" customFormat="false" ht="15" hidden="false" customHeight="false" outlineLevel="0" collapsed="false">
      <c r="A303" s="15"/>
      <c r="B303" s="16"/>
      <c r="C303" s="13" t="str">
        <f aca="false">IFERROR(IF(B303="","",VLOOKUP(B303,Inventory!A:B,2,FALSE())),"")</f>
        <v/>
      </c>
      <c r="D303" s="16"/>
      <c r="E303" s="16"/>
      <c r="F303" s="15"/>
      <c r="G303" s="15"/>
      <c r="H303" s="17" t="str">
        <f aca="true">IF(AND(A303&lt;&gt;"",G303="",F303&lt;&gt;"",F303&lt;TODAY()),TODAY()-F303,"")</f>
        <v/>
      </c>
      <c r="I303" s="16"/>
    </row>
    <row r="304" customFormat="false" ht="15" hidden="false" customHeight="false" outlineLevel="0" collapsed="false">
      <c r="A304" s="15"/>
      <c r="B304" s="16"/>
      <c r="C304" s="13" t="str">
        <f aca="false">IFERROR(IF(B304="","",VLOOKUP(B304,Inventory!A:B,2,FALSE())),"")</f>
        <v/>
      </c>
      <c r="D304" s="16"/>
      <c r="E304" s="16"/>
      <c r="F304" s="15"/>
      <c r="G304" s="15"/>
      <c r="H304" s="17" t="str">
        <f aca="true">IF(AND(A304&lt;&gt;"",G304="",F304&lt;&gt;"",F304&lt;TODAY()),TODAY()-F304,"")</f>
        <v/>
      </c>
      <c r="I304" s="16"/>
    </row>
    <row r="305" customFormat="false" ht="15" hidden="false" customHeight="false" outlineLevel="0" collapsed="false">
      <c r="A305" s="15"/>
      <c r="B305" s="16"/>
      <c r="C305" s="13" t="str">
        <f aca="false">IFERROR(IF(B305="","",VLOOKUP(B305,Inventory!A:B,2,FALSE())),"")</f>
        <v/>
      </c>
      <c r="D305" s="16"/>
      <c r="E305" s="16"/>
      <c r="F305" s="15"/>
      <c r="G305" s="15"/>
      <c r="H305" s="17" t="str">
        <f aca="true">IF(AND(A305&lt;&gt;"",G305="",F305&lt;&gt;"",F305&lt;TODAY()),TODAY()-F305,"")</f>
        <v/>
      </c>
      <c r="I305" s="16"/>
    </row>
    <row r="306" customFormat="false" ht="15" hidden="false" customHeight="false" outlineLevel="0" collapsed="false">
      <c r="A306" s="15"/>
      <c r="B306" s="16"/>
      <c r="C306" s="13" t="str">
        <f aca="false">IFERROR(IF(B306="","",VLOOKUP(B306,Inventory!A:B,2,FALSE())),"")</f>
        <v/>
      </c>
      <c r="D306" s="16"/>
      <c r="E306" s="16"/>
      <c r="F306" s="15"/>
      <c r="G306" s="15"/>
      <c r="H306" s="17" t="str">
        <f aca="true">IF(AND(A306&lt;&gt;"",G306="",F306&lt;&gt;"",F306&lt;TODAY()),TODAY()-F306,"")</f>
        <v/>
      </c>
      <c r="I306" s="16"/>
    </row>
    <row r="307" customFormat="false" ht="15" hidden="false" customHeight="false" outlineLevel="0" collapsed="false">
      <c r="A307" s="15"/>
      <c r="B307" s="16"/>
      <c r="C307" s="13" t="str">
        <f aca="false">IFERROR(IF(B307="","",VLOOKUP(B307,Inventory!A:B,2,FALSE())),"")</f>
        <v/>
      </c>
      <c r="D307" s="16"/>
      <c r="E307" s="16"/>
      <c r="F307" s="15"/>
      <c r="G307" s="15"/>
      <c r="H307" s="17" t="str">
        <f aca="true">IF(AND(A307&lt;&gt;"",G307="",F307&lt;&gt;"",F307&lt;TODAY()),TODAY()-F307,"")</f>
        <v/>
      </c>
      <c r="I307" s="16"/>
    </row>
    <row r="308" customFormat="false" ht="15" hidden="false" customHeight="false" outlineLevel="0" collapsed="false">
      <c r="A308" s="15"/>
      <c r="B308" s="16"/>
      <c r="C308" s="13" t="str">
        <f aca="false">IFERROR(IF(B308="","",VLOOKUP(B308,Inventory!A:B,2,FALSE())),"")</f>
        <v/>
      </c>
      <c r="D308" s="16"/>
      <c r="E308" s="16"/>
      <c r="F308" s="15"/>
      <c r="G308" s="15"/>
      <c r="H308" s="17" t="str">
        <f aca="true">IF(AND(A308&lt;&gt;"",G308="",F308&lt;&gt;"",F308&lt;TODAY()),TODAY()-F308,"")</f>
        <v/>
      </c>
      <c r="I308" s="16"/>
    </row>
    <row r="309" customFormat="false" ht="15" hidden="false" customHeight="false" outlineLevel="0" collapsed="false">
      <c r="A309" s="15"/>
      <c r="B309" s="16"/>
      <c r="C309" s="13" t="str">
        <f aca="false">IFERROR(IF(B309="","",VLOOKUP(B309,Inventory!A:B,2,FALSE())),"")</f>
        <v/>
      </c>
      <c r="D309" s="16"/>
      <c r="E309" s="16"/>
      <c r="F309" s="15"/>
      <c r="G309" s="15"/>
      <c r="H309" s="17" t="str">
        <f aca="true">IF(AND(A309&lt;&gt;"",G309="",F309&lt;&gt;"",F309&lt;TODAY()),TODAY()-F309,"")</f>
        <v/>
      </c>
      <c r="I309" s="16"/>
    </row>
    <row r="310" customFormat="false" ht="15" hidden="false" customHeight="false" outlineLevel="0" collapsed="false">
      <c r="A310" s="15"/>
      <c r="B310" s="16"/>
      <c r="C310" s="13" t="str">
        <f aca="false">IFERROR(IF(B310="","",VLOOKUP(B310,Inventory!A:B,2,FALSE())),"")</f>
        <v/>
      </c>
      <c r="D310" s="16"/>
      <c r="E310" s="16"/>
      <c r="F310" s="15"/>
      <c r="G310" s="15"/>
      <c r="H310" s="17" t="str">
        <f aca="true">IF(AND(A310&lt;&gt;"",G310="",F310&lt;&gt;"",F310&lt;TODAY()),TODAY()-F310,"")</f>
        <v/>
      </c>
      <c r="I310" s="16"/>
    </row>
    <row r="311" customFormat="false" ht="15" hidden="false" customHeight="false" outlineLevel="0" collapsed="false">
      <c r="A311" s="15"/>
      <c r="B311" s="16"/>
      <c r="C311" s="13" t="str">
        <f aca="false">IFERROR(IF(B311="","",VLOOKUP(B311,Inventory!A:B,2,FALSE())),"")</f>
        <v/>
      </c>
      <c r="D311" s="16"/>
      <c r="E311" s="16"/>
      <c r="F311" s="15"/>
      <c r="G311" s="15"/>
      <c r="H311" s="17" t="str">
        <f aca="true">IF(AND(A311&lt;&gt;"",G311="",F311&lt;&gt;"",F311&lt;TODAY()),TODAY()-F311,"")</f>
        <v/>
      </c>
      <c r="I311" s="16"/>
    </row>
    <row r="312" customFormat="false" ht="15" hidden="false" customHeight="false" outlineLevel="0" collapsed="false">
      <c r="A312" s="15"/>
      <c r="B312" s="16"/>
      <c r="C312" s="13" t="str">
        <f aca="false">IFERROR(IF(B312="","",VLOOKUP(B312,Inventory!A:B,2,FALSE())),"")</f>
        <v/>
      </c>
      <c r="D312" s="16"/>
      <c r="E312" s="16"/>
      <c r="F312" s="15"/>
      <c r="G312" s="15"/>
      <c r="H312" s="17" t="str">
        <f aca="true">IF(AND(A312&lt;&gt;"",G312="",F312&lt;&gt;"",F312&lt;TODAY()),TODAY()-F312,"")</f>
        <v/>
      </c>
      <c r="I312" s="16"/>
    </row>
    <row r="313" customFormat="false" ht="15" hidden="false" customHeight="false" outlineLevel="0" collapsed="false">
      <c r="A313" s="15"/>
      <c r="B313" s="16"/>
      <c r="C313" s="13" t="str">
        <f aca="false">IFERROR(IF(B313="","",VLOOKUP(B313,Inventory!A:B,2,FALSE())),"")</f>
        <v/>
      </c>
      <c r="D313" s="16"/>
      <c r="E313" s="16"/>
      <c r="F313" s="15"/>
      <c r="G313" s="15"/>
      <c r="H313" s="17" t="str">
        <f aca="true">IF(AND(A313&lt;&gt;"",G313="",F313&lt;&gt;"",F313&lt;TODAY()),TODAY()-F313,"")</f>
        <v/>
      </c>
      <c r="I313" s="16"/>
    </row>
    <row r="314" customFormat="false" ht="15" hidden="false" customHeight="false" outlineLevel="0" collapsed="false">
      <c r="A314" s="15"/>
      <c r="B314" s="16"/>
      <c r="C314" s="13" t="str">
        <f aca="false">IFERROR(IF(B314="","",VLOOKUP(B314,Inventory!A:B,2,FALSE())),"")</f>
        <v/>
      </c>
      <c r="D314" s="16"/>
      <c r="E314" s="16"/>
      <c r="F314" s="15"/>
      <c r="G314" s="15"/>
      <c r="H314" s="17" t="str">
        <f aca="true">IF(AND(A314&lt;&gt;"",G314="",F314&lt;&gt;"",F314&lt;TODAY()),TODAY()-F314,"")</f>
        <v/>
      </c>
      <c r="I314" s="16"/>
    </row>
    <row r="315" customFormat="false" ht="15" hidden="false" customHeight="false" outlineLevel="0" collapsed="false">
      <c r="A315" s="15"/>
      <c r="B315" s="16"/>
      <c r="C315" s="13" t="str">
        <f aca="false">IFERROR(IF(B315="","",VLOOKUP(B315,Inventory!A:B,2,FALSE())),"")</f>
        <v/>
      </c>
      <c r="D315" s="16"/>
      <c r="E315" s="16"/>
      <c r="F315" s="15"/>
      <c r="G315" s="15"/>
      <c r="H315" s="17" t="str">
        <f aca="true">IF(AND(A315&lt;&gt;"",G315="",F315&lt;&gt;"",F315&lt;TODAY()),TODAY()-F315,"")</f>
        <v/>
      </c>
      <c r="I315" s="16"/>
    </row>
    <row r="316" customFormat="false" ht="15" hidden="false" customHeight="false" outlineLevel="0" collapsed="false">
      <c r="A316" s="15"/>
      <c r="B316" s="16"/>
      <c r="C316" s="13" t="str">
        <f aca="false">IFERROR(IF(B316="","",VLOOKUP(B316,Inventory!A:B,2,FALSE())),"")</f>
        <v/>
      </c>
      <c r="D316" s="16"/>
      <c r="E316" s="16"/>
      <c r="F316" s="15"/>
      <c r="G316" s="15"/>
      <c r="H316" s="17" t="str">
        <f aca="true">IF(AND(A316&lt;&gt;"",G316="",F316&lt;&gt;"",F316&lt;TODAY()),TODAY()-F316,"")</f>
        <v/>
      </c>
      <c r="I316" s="16"/>
    </row>
    <row r="317" customFormat="false" ht="15" hidden="false" customHeight="false" outlineLevel="0" collapsed="false">
      <c r="A317" s="15"/>
      <c r="B317" s="16"/>
      <c r="C317" s="13" t="str">
        <f aca="false">IFERROR(IF(B317="","",VLOOKUP(B317,Inventory!A:B,2,FALSE())),"")</f>
        <v/>
      </c>
      <c r="D317" s="16"/>
      <c r="E317" s="16"/>
      <c r="F317" s="15"/>
      <c r="G317" s="15"/>
      <c r="H317" s="17" t="str">
        <f aca="true">IF(AND(A317&lt;&gt;"",G317="",F317&lt;&gt;"",F317&lt;TODAY()),TODAY()-F317,"")</f>
        <v/>
      </c>
      <c r="I317" s="16"/>
    </row>
    <row r="318" customFormat="false" ht="15" hidden="false" customHeight="false" outlineLevel="0" collapsed="false">
      <c r="A318" s="15"/>
      <c r="B318" s="16"/>
      <c r="C318" s="13" t="str">
        <f aca="false">IFERROR(IF(B318="","",VLOOKUP(B318,Inventory!A:B,2,FALSE())),"")</f>
        <v/>
      </c>
      <c r="D318" s="16"/>
      <c r="E318" s="16"/>
      <c r="F318" s="15"/>
      <c r="G318" s="15"/>
      <c r="H318" s="17" t="str">
        <f aca="true">IF(AND(A318&lt;&gt;"",G318="",F318&lt;&gt;"",F318&lt;TODAY()),TODAY()-F318,"")</f>
        <v/>
      </c>
      <c r="I318" s="16"/>
    </row>
    <row r="319" customFormat="false" ht="15" hidden="false" customHeight="false" outlineLevel="0" collapsed="false">
      <c r="A319" s="15"/>
      <c r="B319" s="16"/>
      <c r="C319" s="13" t="str">
        <f aca="false">IFERROR(IF(B319="","",VLOOKUP(B319,Inventory!A:B,2,FALSE())),"")</f>
        <v/>
      </c>
      <c r="D319" s="16"/>
      <c r="E319" s="16"/>
      <c r="F319" s="15"/>
      <c r="G319" s="15"/>
      <c r="H319" s="17" t="str">
        <f aca="true">IF(AND(A319&lt;&gt;"",G319="",F319&lt;&gt;"",F319&lt;TODAY()),TODAY()-F319,"")</f>
        <v/>
      </c>
      <c r="I319" s="16"/>
    </row>
    <row r="320" customFormat="false" ht="15" hidden="false" customHeight="false" outlineLevel="0" collapsed="false">
      <c r="A320" s="15"/>
      <c r="B320" s="16"/>
      <c r="C320" s="13" t="str">
        <f aca="false">IFERROR(IF(B320="","",VLOOKUP(B320,Inventory!A:B,2,FALSE())),"")</f>
        <v/>
      </c>
      <c r="D320" s="16"/>
      <c r="E320" s="16"/>
      <c r="F320" s="15"/>
      <c r="G320" s="15"/>
      <c r="H320" s="17" t="str">
        <f aca="true">IF(AND(A320&lt;&gt;"",G320="",F320&lt;&gt;"",F320&lt;TODAY()),TODAY()-F320,"")</f>
        <v/>
      </c>
      <c r="I320" s="16"/>
    </row>
    <row r="321" customFormat="false" ht="15" hidden="false" customHeight="false" outlineLevel="0" collapsed="false">
      <c r="A321" s="15"/>
      <c r="B321" s="16"/>
      <c r="C321" s="13" t="str">
        <f aca="false">IFERROR(IF(B321="","",VLOOKUP(B321,Inventory!A:B,2,FALSE())),"")</f>
        <v/>
      </c>
      <c r="D321" s="16"/>
      <c r="E321" s="16"/>
      <c r="F321" s="15"/>
      <c r="G321" s="15"/>
      <c r="H321" s="17" t="str">
        <f aca="true">IF(AND(A321&lt;&gt;"",G321="",F321&lt;&gt;"",F321&lt;TODAY()),TODAY()-F321,"")</f>
        <v/>
      </c>
      <c r="I321" s="16"/>
    </row>
    <row r="322" customFormat="false" ht="15" hidden="false" customHeight="false" outlineLevel="0" collapsed="false">
      <c r="A322" s="15"/>
      <c r="B322" s="16"/>
      <c r="C322" s="13" t="str">
        <f aca="false">IFERROR(IF(B322="","",VLOOKUP(B322,Inventory!A:B,2,FALSE())),"")</f>
        <v/>
      </c>
      <c r="D322" s="16"/>
      <c r="E322" s="16"/>
      <c r="F322" s="15"/>
      <c r="G322" s="15"/>
      <c r="H322" s="17" t="str">
        <f aca="true">IF(AND(A322&lt;&gt;"",G322="",F322&lt;&gt;"",F322&lt;TODAY()),TODAY()-F322,"")</f>
        <v/>
      </c>
      <c r="I322" s="16"/>
    </row>
    <row r="323" customFormat="false" ht="15" hidden="false" customHeight="false" outlineLevel="0" collapsed="false">
      <c r="A323" s="15"/>
      <c r="B323" s="16"/>
      <c r="C323" s="13" t="str">
        <f aca="false">IFERROR(IF(B323="","",VLOOKUP(B323,Inventory!A:B,2,FALSE())),"")</f>
        <v/>
      </c>
      <c r="D323" s="16"/>
      <c r="E323" s="16"/>
      <c r="F323" s="15"/>
      <c r="G323" s="15"/>
      <c r="H323" s="17" t="str">
        <f aca="true">IF(AND(A323&lt;&gt;"",G323="",F323&lt;&gt;"",F323&lt;TODAY()),TODAY()-F323,"")</f>
        <v/>
      </c>
      <c r="I323" s="16"/>
    </row>
    <row r="324" customFormat="false" ht="15" hidden="false" customHeight="false" outlineLevel="0" collapsed="false">
      <c r="A324" s="15"/>
      <c r="B324" s="16"/>
      <c r="C324" s="13" t="str">
        <f aca="false">IFERROR(IF(B324="","",VLOOKUP(B324,Inventory!A:B,2,FALSE())),"")</f>
        <v/>
      </c>
      <c r="D324" s="16"/>
      <c r="E324" s="16"/>
      <c r="F324" s="15"/>
      <c r="G324" s="15"/>
      <c r="H324" s="17" t="str">
        <f aca="true">IF(AND(A324&lt;&gt;"",G324="",F324&lt;&gt;"",F324&lt;TODAY()),TODAY()-F324,"")</f>
        <v/>
      </c>
      <c r="I324" s="16"/>
    </row>
    <row r="325" customFormat="false" ht="15" hidden="false" customHeight="false" outlineLevel="0" collapsed="false">
      <c r="A325" s="15"/>
      <c r="B325" s="16"/>
      <c r="C325" s="13" t="str">
        <f aca="false">IFERROR(IF(B325="","",VLOOKUP(B325,Inventory!A:B,2,FALSE())),"")</f>
        <v/>
      </c>
      <c r="D325" s="16"/>
      <c r="E325" s="16"/>
      <c r="F325" s="15"/>
      <c r="G325" s="15"/>
      <c r="H325" s="17" t="str">
        <f aca="true">IF(AND(A325&lt;&gt;"",G325="",F325&lt;&gt;"",F325&lt;TODAY()),TODAY()-F325,"")</f>
        <v/>
      </c>
      <c r="I325" s="16"/>
    </row>
    <row r="326" customFormat="false" ht="15" hidden="false" customHeight="false" outlineLevel="0" collapsed="false">
      <c r="A326" s="15"/>
      <c r="B326" s="16"/>
      <c r="C326" s="13" t="str">
        <f aca="false">IFERROR(IF(B326="","",VLOOKUP(B326,Inventory!A:B,2,FALSE())),"")</f>
        <v/>
      </c>
      <c r="D326" s="16"/>
      <c r="E326" s="16"/>
      <c r="F326" s="15"/>
      <c r="G326" s="15"/>
      <c r="H326" s="17" t="str">
        <f aca="true">IF(AND(A326&lt;&gt;"",G326="",F326&lt;&gt;"",F326&lt;TODAY()),TODAY()-F326,"")</f>
        <v/>
      </c>
      <c r="I326" s="16"/>
    </row>
    <row r="327" customFormat="false" ht="15" hidden="false" customHeight="false" outlineLevel="0" collapsed="false">
      <c r="A327" s="15"/>
      <c r="B327" s="16"/>
      <c r="C327" s="13" t="str">
        <f aca="false">IFERROR(IF(B327="","",VLOOKUP(B327,Inventory!A:B,2,FALSE())),"")</f>
        <v/>
      </c>
      <c r="D327" s="16"/>
      <c r="E327" s="16"/>
      <c r="F327" s="15"/>
      <c r="G327" s="15"/>
      <c r="H327" s="17" t="str">
        <f aca="true">IF(AND(A327&lt;&gt;"",G327="",F327&lt;&gt;"",F327&lt;TODAY()),TODAY()-F327,"")</f>
        <v/>
      </c>
      <c r="I327" s="16"/>
    </row>
    <row r="328" customFormat="false" ht="15" hidden="false" customHeight="false" outlineLevel="0" collapsed="false">
      <c r="A328" s="15"/>
      <c r="B328" s="16"/>
      <c r="C328" s="13" t="str">
        <f aca="false">IFERROR(IF(B328="","",VLOOKUP(B328,Inventory!A:B,2,FALSE())),"")</f>
        <v/>
      </c>
      <c r="D328" s="16"/>
      <c r="E328" s="16"/>
      <c r="F328" s="15"/>
      <c r="G328" s="15"/>
      <c r="H328" s="17" t="str">
        <f aca="true">IF(AND(A328&lt;&gt;"",G328="",F328&lt;&gt;"",F328&lt;TODAY()),TODAY()-F328,"")</f>
        <v/>
      </c>
      <c r="I328" s="16"/>
    </row>
    <row r="329" customFormat="false" ht="15" hidden="false" customHeight="false" outlineLevel="0" collapsed="false">
      <c r="A329" s="15"/>
      <c r="B329" s="16"/>
      <c r="C329" s="13" t="str">
        <f aca="false">IFERROR(IF(B329="","",VLOOKUP(B329,Inventory!A:B,2,FALSE())),"")</f>
        <v/>
      </c>
      <c r="D329" s="16"/>
      <c r="E329" s="16"/>
      <c r="F329" s="15"/>
      <c r="G329" s="15"/>
      <c r="H329" s="17" t="str">
        <f aca="true">IF(AND(A329&lt;&gt;"",G329="",F329&lt;&gt;"",F329&lt;TODAY()),TODAY()-F329,"")</f>
        <v/>
      </c>
      <c r="I329" s="16"/>
    </row>
    <row r="330" customFormat="false" ht="15" hidden="false" customHeight="false" outlineLevel="0" collapsed="false">
      <c r="A330" s="15"/>
      <c r="B330" s="16"/>
      <c r="C330" s="13" t="str">
        <f aca="false">IFERROR(IF(B330="","",VLOOKUP(B330,Inventory!A:B,2,FALSE())),"")</f>
        <v/>
      </c>
      <c r="D330" s="16"/>
      <c r="E330" s="16"/>
      <c r="F330" s="15"/>
      <c r="G330" s="15"/>
      <c r="H330" s="17" t="str">
        <f aca="true">IF(AND(A330&lt;&gt;"",G330="",F330&lt;&gt;"",F330&lt;TODAY()),TODAY()-F330,"")</f>
        <v/>
      </c>
      <c r="I330" s="16"/>
    </row>
    <row r="331" customFormat="false" ht="15" hidden="false" customHeight="false" outlineLevel="0" collapsed="false">
      <c r="A331" s="15"/>
      <c r="B331" s="16"/>
      <c r="C331" s="13" t="str">
        <f aca="false">IFERROR(IF(B331="","",VLOOKUP(B331,Inventory!A:B,2,FALSE())),"")</f>
        <v/>
      </c>
      <c r="D331" s="16"/>
      <c r="E331" s="16"/>
      <c r="F331" s="15"/>
      <c r="G331" s="15"/>
      <c r="H331" s="17" t="str">
        <f aca="true">IF(AND(A331&lt;&gt;"",G331="",F331&lt;&gt;"",F331&lt;TODAY()),TODAY()-F331,"")</f>
        <v/>
      </c>
      <c r="I331" s="16"/>
    </row>
    <row r="332" customFormat="false" ht="15" hidden="false" customHeight="false" outlineLevel="0" collapsed="false">
      <c r="A332" s="15"/>
      <c r="B332" s="16"/>
      <c r="C332" s="13" t="str">
        <f aca="false">IFERROR(IF(B332="","",VLOOKUP(B332,Inventory!A:B,2,FALSE())),"")</f>
        <v/>
      </c>
      <c r="D332" s="16"/>
      <c r="E332" s="16"/>
      <c r="F332" s="15"/>
      <c r="G332" s="15"/>
      <c r="H332" s="17" t="str">
        <f aca="true">IF(AND(A332&lt;&gt;"",G332="",F332&lt;&gt;"",F332&lt;TODAY()),TODAY()-F332,"")</f>
        <v/>
      </c>
      <c r="I332" s="16"/>
    </row>
    <row r="333" customFormat="false" ht="15" hidden="false" customHeight="false" outlineLevel="0" collapsed="false">
      <c r="A333" s="15"/>
      <c r="B333" s="16"/>
      <c r="C333" s="13" t="str">
        <f aca="false">IFERROR(IF(B333="","",VLOOKUP(B333,Inventory!A:B,2,FALSE())),"")</f>
        <v/>
      </c>
      <c r="D333" s="16"/>
      <c r="E333" s="16"/>
      <c r="F333" s="15"/>
      <c r="G333" s="15"/>
      <c r="H333" s="17" t="str">
        <f aca="true">IF(AND(A333&lt;&gt;"",G333="",F333&lt;&gt;"",F333&lt;TODAY()),TODAY()-F333,"")</f>
        <v/>
      </c>
      <c r="I333" s="16"/>
    </row>
    <row r="334" customFormat="false" ht="15" hidden="false" customHeight="false" outlineLevel="0" collapsed="false">
      <c r="A334" s="15"/>
      <c r="B334" s="16"/>
      <c r="C334" s="13" t="str">
        <f aca="false">IFERROR(IF(B334="","",VLOOKUP(B334,Inventory!A:B,2,FALSE())),"")</f>
        <v/>
      </c>
      <c r="D334" s="16"/>
      <c r="E334" s="16"/>
      <c r="F334" s="15"/>
      <c r="G334" s="15"/>
      <c r="H334" s="17" t="str">
        <f aca="true">IF(AND(A334&lt;&gt;"",G334="",F334&lt;&gt;"",F334&lt;TODAY()),TODAY()-F334,"")</f>
        <v/>
      </c>
      <c r="I334" s="16"/>
    </row>
    <row r="335" customFormat="false" ht="15" hidden="false" customHeight="false" outlineLevel="0" collapsed="false">
      <c r="A335" s="15"/>
      <c r="B335" s="16"/>
      <c r="C335" s="13" t="str">
        <f aca="false">IFERROR(IF(B335="","",VLOOKUP(B335,Inventory!A:B,2,FALSE())),"")</f>
        <v/>
      </c>
      <c r="D335" s="16"/>
      <c r="E335" s="16"/>
      <c r="F335" s="15"/>
      <c r="G335" s="15"/>
      <c r="H335" s="17" t="str">
        <f aca="true">IF(AND(A335&lt;&gt;"",G335="",F335&lt;&gt;"",F335&lt;TODAY()),TODAY()-F335,"")</f>
        <v/>
      </c>
      <c r="I335" s="16"/>
    </row>
    <row r="336" customFormat="false" ht="15" hidden="false" customHeight="false" outlineLevel="0" collapsed="false">
      <c r="A336" s="15"/>
      <c r="B336" s="16"/>
      <c r="C336" s="13" t="str">
        <f aca="false">IFERROR(IF(B336="","",VLOOKUP(B336,Inventory!A:B,2,FALSE())),"")</f>
        <v/>
      </c>
      <c r="D336" s="16"/>
      <c r="E336" s="16"/>
      <c r="F336" s="15"/>
      <c r="G336" s="15"/>
      <c r="H336" s="17" t="str">
        <f aca="true">IF(AND(A336&lt;&gt;"",G336="",F336&lt;&gt;"",F336&lt;TODAY()),TODAY()-F336,"")</f>
        <v/>
      </c>
      <c r="I336" s="16"/>
    </row>
    <row r="337" customFormat="false" ht="15" hidden="false" customHeight="false" outlineLevel="0" collapsed="false">
      <c r="A337" s="15"/>
      <c r="B337" s="16"/>
      <c r="C337" s="13" t="str">
        <f aca="false">IFERROR(IF(B337="","",VLOOKUP(B337,Inventory!A:B,2,FALSE())),"")</f>
        <v/>
      </c>
      <c r="D337" s="16"/>
      <c r="E337" s="16"/>
      <c r="F337" s="15"/>
      <c r="G337" s="15"/>
      <c r="H337" s="17" t="str">
        <f aca="true">IF(AND(A337&lt;&gt;"",G337="",F337&lt;&gt;"",F337&lt;TODAY()),TODAY()-F337,"")</f>
        <v/>
      </c>
      <c r="I337" s="16"/>
    </row>
    <row r="338" customFormat="false" ht="15" hidden="false" customHeight="false" outlineLevel="0" collapsed="false">
      <c r="A338" s="15"/>
      <c r="B338" s="16"/>
      <c r="C338" s="13" t="str">
        <f aca="false">IFERROR(IF(B338="","",VLOOKUP(B338,Inventory!A:B,2,FALSE())),"")</f>
        <v/>
      </c>
      <c r="D338" s="16"/>
      <c r="E338" s="16"/>
      <c r="F338" s="15"/>
      <c r="G338" s="15"/>
      <c r="H338" s="17" t="str">
        <f aca="true">IF(AND(A338&lt;&gt;"",G338="",F338&lt;&gt;"",F338&lt;TODAY()),TODAY()-F338,"")</f>
        <v/>
      </c>
      <c r="I338" s="16"/>
    </row>
    <row r="339" customFormat="false" ht="15" hidden="false" customHeight="false" outlineLevel="0" collapsed="false">
      <c r="A339" s="15"/>
      <c r="B339" s="16"/>
      <c r="C339" s="13" t="str">
        <f aca="false">IFERROR(IF(B339="","",VLOOKUP(B339,Inventory!A:B,2,FALSE())),"")</f>
        <v/>
      </c>
      <c r="D339" s="16"/>
      <c r="E339" s="16"/>
      <c r="F339" s="15"/>
      <c r="G339" s="15"/>
      <c r="H339" s="17" t="str">
        <f aca="true">IF(AND(A339&lt;&gt;"",G339="",F339&lt;&gt;"",F339&lt;TODAY()),TODAY()-F339,"")</f>
        <v/>
      </c>
      <c r="I339" s="16"/>
    </row>
    <row r="340" customFormat="false" ht="15" hidden="false" customHeight="false" outlineLevel="0" collapsed="false">
      <c r="A340" s="15"/>
      <c r="B340" s="16"/>
      <c r="C340" s="13" t="str">
        <f aca="false">IFERROR(IF(B340="","",VLOOKUP(B340,Inventory!A:B,2,FALSE())),"")</f>
        <v/>
      </c>
      <c r="D340" s="16"/>
      <c r="E340" s="16"/>
      <c r="F340" s="15"/>
      <c r="G340" s="15"/>
      <c r="H340" s="17" t="str">
        <f aca="true">IF(AND(A340&lt;&gt;"",G340="",F340&lt;&gt;"",F340&lt;TODAY()),TODAY()-F340,"")</f>
        <v/>
      </c>
      <c r="I340" s="16"/>
    </row>
    <row r="341" customFormat="false" ht="15" hidden="false" customHeight="false" outlineLevel="0" collapsed="false">
      <c r="A341" s="15"/>
      <c r="B341" s="16"/>
      <c r="C341" s="13" t="str">
        <f aca="false">IFERROR(IF(B341="","",VLOOKUP(B341,Inventory!A:B,2,FALSE())),"")</f>
        <v/>
      </c>
      <c r="D341" s="16"/>
      <c r="E341" s="16"/>
      <c r="F341" s="15"/>
      <c r="G341" s="15"/>
      <c r="H341" s="17" t="str">
        <f aca="true">IF(AND(A341&lt;&gt;"",G341="",F341&lt;&gt;"",F341&lt;TODAY()),TODAY()-F341,"")</f>
        <v/>
      </c>
      <c r="I341" s="16"/>
    </row>
    <row r="342" customFormat="false" ht="15" hidden="false" customHeight="false" outlineLevel="0" collapsed="false">
      <c r="A342" s="15"/>
      <c r="B342" s="16"/>
      <c r="C342" s="13" t="str">
        <f aca="false">IFERROR(IF(B342="","",VLOOKUP(B342,Inventory!A:B,2,FALSE())),"")</f>
        <v/>
      </c>
      <c r="D342" s="16"/>
      <c r="E342" s="16"/>
      <c r="F342" s="15"/>
      <c r="G342" s="15"/>
      <c r="H342" s="17" t="str">
        <f aca="true">IF(AND(A342&lt;&gt;"",G342="",F342&lt;&gt;"",F342&lt;TODAY()),TODAY()-F342,"")</f>
        <v/>
      </c>
      <c r="I342" s="16"/>
    </row>
    <row r="343" customFormat="false" ht="15" hidden="false" customHeight="false" outlineLevel="0" collapsed="false">
      <c r="A343" s="15"/>
      <c r="B343" s="16"/>
      <c r="C343" s="13" t="str">
        <f aca="false">IFERROR(IF(B343="","",VLOOKUP(B343,Inventory!A:B,2,FALSE())),"")</f>
        <v/>
      </c>
      <c r="D343" s="16"/>
      <c r="E343" s="16"/>
      <c r="F343" s="15"/>
      <c r="G343" s="15"/>
      <c r="H343" s="17" t="str">
        <f aca="true">IF(AND(A343&lt;&gt;"",G343="",F343&lt;&gt;"",F343&lt;TODAY()),TODAY()-F343,"")</f>
        <v/>
      </c>
      <c r="I343" s="16"/>
    </row>
    <row r="344" customFormat="false" ht="15" hidden="false" customHeight="false" outlineLevel="0" collapsed="false">
      <c r="A344" s="15"/>
      <c r="B344" s="16"/>
      <c r="C344" s="13" t="str">
        <f aca="false">IFERROR(IF(B344="","",VLOOKUP(B344,Inventory!A:B,2,FALSE())),"")</f>
        <v/>
      </c>
      <c r="D344" s="16"/>
      <c r="E344" s="16"/>
      <c r="F344" s="15"/>
      <c r="G344" s="15"/>
      <c r="H344" s="17" t="str">
        <f aca="true">IF(AND(A344&lt;&gt;"",G344="",F344&lt;&gt;"",F344&lt;TODAY()),TODAY()-F344,"")</f>
        <v/>
      </c>
      <c r="I344" s="16"/>
    </row>
    <row r="345" customFormat="false" ht="15" hidden="false" customHeight="false" outlineLevel="0" collapsed="false">
      <c r="A345" s="15"/>
      <c r="B345" s="16"/>
      <c r="C345" s="13" t="str">
        <f aca="false">IFERROR(IF(B345="","",VLOOKUP(B345,Inventory!A:B,2,FALSE())),"")</f>
        <v/>
      </c>
      <c r="D345" s="16"/>
      <c r="E345" s="16"/>
      <c r="F345" s="15"/>
      <c r="G345" s="15"/>
      <c r="H345" s="17" t="str">
        <f aca="true">IF(AND(A345&lt;&gt;"",G345="",F345&lt;&gt;"",F345&lt;TODAY()),TODAY()-F345,"")</f>
        <v/>
      </c>
      <c r="I345" s="16"/>
    </row>
    <row r="346" customFormat="false" ht="15" hidden="false" customHeight="false" outlineLevel="0" collapsed="false">
      <c r="A346" s="15"/>
      <c r="B346" s="16"/>
      <c r="C346" s="13" t="str">
        <f aca="false">IFERROR(IF(B346="","",VLOOKUP(B346,Inventory!A:B,2,FALSE())),"")</f>
        <v/>
      </c>
      <c r="D346" s="16"/>
      <c r="E346" s="16"/>
      <c r="F346" s="15"/>
      <c r="G346" s="15"/>
      <c r="H346" s="17" t="str">
        <f aca="true">IF(AND(A346&lt;&gt;"",G346="",F346&lt;&gt;"",F346&lt;TODAY()),TODAY()-F346,"")</f>
        <v/>
      </c>
      <c r="I346" s="16"/>
    </row>
    <row r="347" customFormat="false" ht="15" hidden="false" customHeight="false" outlineLevel="0" collapsed="false">
      <c r="A347" s="15"/>
      <c r="B347" s="16"/>
      <c r="C347" s="13" t="str">
        <f aca="false">IFERROR(IF(B347="","",VLOOKUP(B347,Inventory!A:B,2,FALSE())),"")</f>
        <v/>
      </c>
      <c r="D347" s="16"/>
      <c r="E347" s="16"/>
      <c r="F347" s="15"/>
      <c r="G347" s="15"/>
      <c r="H347" s="17" t="str">
        <f aca="true">IF(AND(A347&lt;&gt;"",G347="",F347&lt;&gt;"",F347&lt;TODAY()),TODAY()-F347,"")</f>
        <v/>
      </c>
      <c r="I347" s="16"/>
    </row>
    <row r="348" customFormat="false" ht="15" hidden="false" customHeight="false" outlineLevel="0" collapsed="false">
      <c r="A348" s="15"/>
      <c r="B348" s="16"/>
      <c r="C348" s="13" t="str">
        <f aca="false">IFERROR(IF(B348="","",VLOOKUP(B348,Inventory!A:B,2,FALSE())),"")</f>
        <v/>
      </c>
      <c r="D348" s="16"/>
      <c r="E348" s="16"/>
      <c r="F348" s="15"/>
      <c r="G348" s="15"/>
      <c r="H348" s="17" t="str">
        <f aca="true">IF(AND(A348&lt;&gt;"",G348="",F348&lt;&gt;"",F348&lt;TODAY()),TODAY()-F348,"")</f>
        <v/>
      </c>
      <c r="I348" s="16"/>
    </row>
    <row r="349" customFormat="false" ht="15" hidden="false" customHeight="false" outlineLevel="0" collapsed="false">
      <c r="A349" s="15"/>
      <c r="B349" s="16"/>
      <c r="C349" s="13" t="str">
        <f aca="false">IFERROR(IF(B349="","",VLOOKUP(B349,Inventory!A:B,2,FALSE())),"")</f>
        <v/>
      </c>
      <c r="D349" s="16"/>
      <c r="E349" s="16"/>
      <c r="F349" s="15"/>
      <c r="G349" s="15"/>
      <c r="H349" s="17" t="str">
        <f aca="true">IF(AND(A349&lt;&gt;"",G349="",F349&lt;&gt;"",F349&lt;TODAY()),TODAY()-F349,"")</f>
        <v/>
      </c>
      <c r="I349" s="16"/>
    </row>
    <row r="350" customFormat="false" ht="15" hidden="false" customHeight="false" outlineLevel="0" collapsed="false">
      <c r="A350" s="15"/>
      <c r="B350" s="16"/>
      <c r="C350" s="13" t="str">
        <f aca="false">IFERROR(IF(B350="","",VLOOKUP(B350,Inventory!A:B,2,FALSE())),"")</f>
        <v/>
      </c>
      <c r="D350" s="16"/>
      <c r="E350" s="16"/>
      <c r="F350" s="15"/>
      <c r="G350" s="15"/>
      <c r="H350" s="17" t="str">
        <f aca="true">IF(AND(A350&lt;&gt;"",G350="",F350&lt;&gt;"",F350&lt;TODAY()),TODAY()-F350,"")</f>
        <v/>
      </c>
      <c r="I350" s="16"/>
    </row>
    <row r="351" customFormat="false" ht="15" hidden="false" customHeight="false" outlineLevel="0" collapsed="false">
      <c r="A351" s="15"/>
      <c r="B351" s="16"/>
      <c r="C351" s="13" t="str">
        <f aca="false">IFERROR(IF(B351="","",VLOOKUP(B351,Inventory!A:B,2,FALSE())),"")</f>
        <v/>
      </c>
      <c r="D351" s="16"/>
      <c r="E351" s="16"/>
      <c r="F351" s="15"/>
      <c r="G351" s="15"/>
      <c r="H351" s="17" t="str">
        <f aca="true">IF(AND(A351&lt;&gt;"",G351="",F351&lt;&gt;"",F351&lt;TODAY()),TODAY()-F351,"")</f>
        <v/>
      </c>
      <c r="I351" s="16"/>
    </row>
    <row r="352" customFormat="false" ht="15" hidden="false" customHeight="false" outlineLevel="0" collapsed="false">
      <c r="A352" s="15"/>
      <c r="B352" s="16"/>
      <c r="C352" s="13" t="str">
        <f aca="false">IFERROR(IF(B352="","",VLOOKUP(B352,Inventory!A:B,2,FALSE())),"")</f>
        <v/>
      </c>
      <c r="D352" s="16"/>
      <c r="E352" s="16"/>
      <c r="F352" s="15"/>
      <c r="G352" s="15"/>
      <c r="H352" s="17" t="str">
        <f aca="true">IF(AND(A352&lt;&gt;"",G352="",F352&lt;&gt;"",F352&lt;TODAY()),TODAY()-F352,"")</f>
        <v/>
      </c>
      <c r="I352" s="16"/>
    </row>
    <row r="353" customFormat="false" ht="15" hidden="false" customHeight="false" outlineLevel="0" collapsed="false">
      <c r="A353" s="15"/>
      <c r="B353" s="16"/>
      <c r="C353" s="13" t="str">
        <f aca="false">IFERROR(IF(B353="","",VLOOKUP(B353,Inventory!A:B,2,FALSE())),"")</f>
        <v/>
      </c>
      <c r="D353" s="16"/>
      <c r="E353" s="16"/>
      <c r="F353" s="15"/>
      <c r="G353" s="15"/>
      <c r="H353" s="17" t="str">
        <f aca="true">IF(AND(A353&lt;&gt;"",G353="",F353&lt;&gt;"",F353&lt;TODAY()),TODAY()-F353,"")</f>
        <v/>
      </c>
      <c r="I353" s="16"/>
    </row>
    <row r="354" customFormat="false" ht="15" hidden="false" customHeight="false" outlineLevel="0" collapsed="false">
      <c r="A354" s="15"/>
      <c r="B354" s="16"/>
      <c r="C354" s="13" t="str">
        <f aca="false">IFERROR(IF(B354="","",VLOOKUP(B354,Inventory!A:B,2,FALSE())),"")</f>
        <v/>
      </c>
      <c r="D354" s="16"/>
      <c r="E354" s="16"/>
      <c r="F354" s="15"/>
      <c r="G354" s="15"/>
      <c r="H354" s="17" t="str">
        <f aca="true">IF(AND(A354&lt;&gt;"",G354="",F354&lt;&gt;"",F354&lt;TODAY()),TODAY()-F354,"")</f>
        <v/>
      </c>
      <c r="I354" s="16"/>
    </row>
    <row r="355" customFormat="false" ht="15" hidden="false" customHeight="false" outlineLevel="0" collapsed="false">
      <c r="A355" s="15"/>
      <c r="B355" s="16"/>
      <c r="C355" s="13" t="str">
        <f aca="false">IFERROR(IF(B355="","",VLOOKUP(B355,Inventory!A:B,2,FALSE())),"")</f>
        <v/>
      </c>
      <c r="D355" s="16"/>
      <c r="E355" s="16"/>
      <c r="F355" s="15"/>
      <c r="G355" s="15"/>
      <c r="H355" s="17" t="str">
        <f aca="true">IF(AND(A355&lt;&gt;"",G355="",F355&lt;&gt;"",F355&lt;TODAY()),TODAY()-F355,"")</f>
        <v/>
      </c>
      <c r="I355" s="16"/>
    </row>
    <row r="356" customFormat="false" ht="15" hidden="false" customHeight="false" outlineLevel="0" collapsed="false">
      <c r="A356" s="15"/>
      <c r="B356" s="16"/>
      <c r="C356" s="13" t="str">
        <f aca="false">IFERROR(IF(B356="","",VLOOKUP(B356,Inventory!A:B,2,FALSE())),"")</f>
        <v/>
      </c>
      <c r="D356" s="16"/>
      <c r="E356" s="16"/>
      <c r="F356" s="15"/>
      <c r="G356" s="15"/>
      <c r="H356" s="17" t="str">
        <f aca="true">IF(AND(A356&lt;&gt;"",G356="",F356&lt;&gt;"",F356&lt;TODAY()),TODAY()-F356,"")</f>
        <v/>
      </c>
      <c r="I356" s="16"/>
    </row>
    <row r="357" customFormat="false" ht="15" hidden="false" customHeight="false" outlineLevel="0" collapsed="false">
      <c r="A357" s="15"/>
      <c r="B357" s="16"/>
      <c r="C357" s="13" t="str">
        <f aca="false">IFERROR(IF(B357="","",VLOOKUP(B357,Inventory!A:B,2,FALSE())),"")</f>
        <v/>
      </c>
      <c r="D357" s="16"/>
      <c r="E357" s="16"/>
      <c r="F357" s="15"/>
      <c r="G357" s="15"/>
      <c r="H357" s="17" t="str">
        <f aca="true">IF(AND(A357&lt;&gt;"",G357="",F357&lt;&gt;"",F357&lt;TODAY()),TODAY()-F357,"")</f>
        <v/>
      </c>
      <c r="I357" s="16"/>
    </row>
    <row r="358" customFormat="false" ht="15" hidden="false" customHeight="false" outlineLevel="0" collapsed="false">
      <c r="A358" s="15"/>
      <c r="B358" s="16"/>
      <c r="C358" s="13" t="str">
        <f aca="false">IFERROR(IF(B358="","",VLOOKUP(B358,Inventory!A:B,2,FALSE())),"")</f>
        <v/>
      </c>
      <c r="D358" s="16"/>
      <c r="E358" s="16"/>
      <c r="F358" s="15"/>
      <c r="G358" s="15"/>
      <c r="H358" s="17" t="str">
        <f aca="true">IF(AND(A358&lt;&gt;"",G358="",F358&lt;&gt;"",F358&lt;TODAY()),TODAY()-F358,"")</f>
        <v/>
      </c>
      <c r="I358" s="16"/>
    </row>
    <row r="359" customFormat="false" ht="15" hidden="false" customHeight="false" outlineLevel="0" collapsed="false">
      <c r="A359" s="15"/>
      <c r="B359" s="16"/>
      <c r="C359" s="13" t="str">
        <f aca="false">IFERROR(IF(B359="","",VLOOKUP(B359,Inventory!A:B,2,FALSE())),"")</f>
        <v/>
      </c>
      <c r="D359" s="16"/>
      <c r="E359" s="16"/>
      <c r="F359" s="15"/>
      <c r="G359" s="15"/>
      <c r="H359" s="17" t="str">
        <f aca="true">IF(AND(A359&lt;&gt;"",G359="",F359&lt;&gt;"",F359&lt;TODAY()),TODAY()-F359,"")</f>
        <v/>
      </c>
      <c r="I359" s="16"/>
    </row>
    <row r="360" customFormat="false" ht="15" hidden="false" customHeight="false" outlineLevel="0" collapsed="false">
      <c r="A360" s="15"/>
      <c r="B360" s="16"/>
      <c r="C360" s="13" t="str">
        <f aca="false">IFERROR(IF(B360="","",VLOOKUP(B360,Inventory!A:B,2,FALSE())),"")</f>
        <v/>
      </c>
      <c r="D360" s="16"/>
      <c r="E360" s="16"/>
      <c r="F360" s="15"/>
      <c r="G360" s="15"/>
      <c r="H360" s="17" t="str">
        <f aca="true">IF(AND(A360&lt;&gt;"",G360="",F360&lt;&gt;"",F360&lt;TODAY()),TODAY()-F360,"")</f>
        <v/>
      </c>
      <c r="I360" s="16"/>
    </row>
    <row r="361" customFormat="false" ht="15" hidden="false" customHeight="false" outlineLevel="0" collapsed="false">
      <c r="A361" s="15"/>
      <c r="B361" s="16"/>
      <c r="C361" s="13" t="str">
        <f aca="false">IFERROR(IF(B361="","",VLOOKUP(B361,Inventory!A:B,2,FALSE())),"")</f>
        <v/>
      </c>
      <c r="D361" s="16"/>
      <c r="E361" s="16"/>
      <c r="F361" s="15"/>
      <c r="G361" s="15"/>
      <c r="H361" s="17" t="str">
        <f aca="true">IF(AND(A361&lt;&gt;"",G361="",F361&lt;&gt;"",F361&lt;TODAY()),TODAY()-F361,"")</f>
        <v/>
      </c>
      <c r="I361" s="16"/>
    </row>
    <row r="362" customFormat="false" ht="15" hidden="false" customHeight="false" outlineLevel="0" collapsed="false">
      <c r="A362" s="15"/>
      <c r="B362" s="16"/>
      <c r="C362" s="13" t="str">
        <f aca="false">IFERROR(IF(B362="","",VLOOKUP(B362,Inventory!A:B,2,FALSE())),"")</f>
        <v/>
      </c>
      <c r="D362" s="16"/>
      <c r="E362" s="16"/>
      <c r="F362" s="15"/>
      <c r="G362" s="15"/>
      <c r="H362" s="17" t="str">
        <f aca="true">IF(AND(A362&lt;&gt;"",G362="",F362&lt;&gt;"",F362&lt;TODAY()),TODAY()-F362,"")</f>
        <v/>
      </c>
      <c r="I362" s="16"/>
    </row>
    <row r="363" customFormat="false" ht="15" hidden="false" customHeight="false" outlineLevel="0" collapsed="false">
      <c r="A363" s="15"/>
      <c r="B363" s="16"/>
      <c r="C363" s="13" t="str">
        <f aca="false">IFERROR(IF(B363="","",VLOOKUP(B363,Inventory!A:B,2,FALSE())),"")</f>
        <v/>
      </c>
      <c r="D363" s="16"/>
      <c r="E363" s="16"/>
      <c r="F363" s="15"/>
      <c r="G363" s="15"/>
      <c r="H363" s="17" t="str">
        <f aca="true">IF(AND(A363&lt;&gt;"",G363="",F363&lt;&gt;"",F363&lt;TODAY()),TODAY()-F363,"")</f>
        <v/>
      </c>
      <c r="I363" s="16"/>
    </row>
    <row r="364" customFormat="false" ht="15" hidden="false" customHeight="false" outlineLevel="0" collapsed="false">
      <c r="A364" s="15"/>
      <c r="B364" s="16"/>
      <c r="C364" s="13" t="str">
        <f aca="false">IFERROR(IF(B364="","",VLOOKUP(B364,Inventory!A:B,2,FALSE())),"")</f>
        <v/>
      </c>
      <c r="D364" s="16"/>
      <c r="E364" s="16"/>
      <c r="F364" s="15"/>
      <c r="G364" s="15"/>
      <c r="H364" s="17" t="str">
        <f aca="true">IF(AND(A364&lt;&gt;"",G364="",F364&lt;&gt;"",F364&lt;TODAY()),TODAY()-F364,"")</f>
        <v/>
      </c>
      <c r="I364" s="16"/>
    </row>
    <row r="365" customFormat="false" ht="15" hidden="false" customHeight="false" outlineLevel="0" collapsed="false">
      <c r="A365" s="15"/>
      <c r="B365" s="16"/>
      <c r="C365" s="13" t="str">
        <f aca="false">IFERROR(IF(B365="","",VLOOKUP(B365,Inventory!A:B,2,FALSE())),"")</f>
        <v/>
      </c>
      <c r="D365" s="16"/>
      <c r="E365" s="16"/>
      <c r="F365" s="15"/>
      <c r="G365" s="15"/>
      <c r="H365" s="17" t="str">
        <f aca="true">IF(AND(A365&lt;&gt;"",G365="",F365&lt;&gt;"",F365&lt;TODAY()),TODAY()-F365,"")</f>
        <v/>
      </c>
      <c r="I365" s="16"/>
    </row>
    <row r="366" customFormat="false" ht="15" hidden="false" customHeight="false" outlineLevel="0" collapsed="false">
      <c r="A366" s="15"/>
      <c r="B366" s="16"/>
      <c r="C366" s="13" t="str">
        <f aca="false">IFERROR(IF(B366="","",VLOOKUP(B366,Inventory!A:B,2,FALSE())),"")</f>
        <v/>
      </c>
      <c r="D366" s="16"/>
      <c r="E366" s="16"/>
      <c r="F366" s="15"/>
      <c r="G366" s="15"/>
      <c r="H366" s="17" t="str">
        <f aca="true">IF(AND(A366&lt;&gt;"",G366="",F366&lt;&gt;"",F366&lt;TODAY()),TODAY()-F366,"")</f>
        <v/>
      </c>
      <c r="I366" s="16"/>
    </row>
    <row r="367" customFormat="false" ht="15" hidden="false" customHeight="false" outlineLevel="0" collapsed="false">
      <c r="A367" s="15"/>
      <c r="B367" s="16"/>
      <c r="C367" s="13" t="str">
        <f aca="false">IFERROR(IF(B367="","",VLOOKUP(B367,Inventory!A:B,2,FALSE())),"")</f>
        <v/>
      </c>
      <c r="D367" s="16"/>
      <c r="E367" s="16"/>
      <c r="F367" s="15"/>
      <c r="G367" s="15"/>
      <c r="H367" s="17" t="str">
        <f aca="true">IF(AND(A367&lt;&gt;"",G367="",F367&lt;&gt;"",F367&lt;TODAY()),TODAY()-F367,"")</f>
        <v/>
      </c>
      <c r="I367" s="16"/>
    </row>
    <row r="368" customFormat="false" ht="15" hidden="false" customHeight="false" outlineLevel="0" collapsed="false">
      <c r="A368" s="15"/>
      <c r="B368" s="16"/>
      <c r="C368" s="13" t="str">
        <f aca="false">IFERROR(IF(B368="","",VLOOKUP(B368,Inventory!A:B,2,FALSE())),"")</f>
        <v/>
      </c>
      <c r="D368" s="16"/>
      <c r="E368" s="16"/>
      <c r="F368" s="15"/>
      <c r="G368" s="15"/>
      <c r="H368" s="17" t="str">
        <f aca="true">IF(AND(A368&lt;&gt;"",G368="",F368&lt;&gt;"",F368&lt;TODAY()),TODAY()-F368,"")</f>
        <v/>
      </c>
      <c r="I368" s="16"/>
    </row>
    <row r="369" customFormat="false" ht="15" hidden="false" customHeight="false" outlineLevel="0" collapsed="false">
      <c r="A369" s="15"/>
      <c r="B369" s="16"/>
      <c r="C369" s="13" t="str">
        <f aca="false">IFERROR(IF(B369="","",VLOOKUP(B369,Inventory!A:B,2,FALSE())),"")</f>
        <v/>
      </c>
      <c r="D369" s="16"/>
      <c r="E369" s="16"/>
      <c r="F369" s="15"/>
      <c r="G369" s="15"/>
      <c r="H369" s="17" t="str">
        <f aca="true">IF(AND(A369&lt;&gt;"",G369="",F369&lt;&gt;"",F369&lt;TODAY()),TODAY()-F369,"")</f>
        <v/>
      </c>
      <c r="I369" s="16"/>
    </row>
    <row r="370" customFormat="false" ht="15" hidden="false" customHeight="false" outlineLevel="0" collapsed="false">
      <c r="A370" s="15"/>
      <c r="B370" s="16"/>
      <c r="C370" s="13" t="str">
        <f aca="false">IFERROR(IF(B370="","",VLOOKUP(B370,Inventory!A:B,2,FALSE())),"")</f>
        <v/>
      </c>
      <c r="D370" s="16"/>
      <c r="E370" s="16"/>
      <c r="F370" s="15"/>
      <c r="G370" s="15"/>
      <c r="H370" s="17" t="str">
        <f aca="true">IF(AND(A370&lt;&gt;"",G370="",F370&lt;&gt;"",F370&lt;TODAY()),TODAY()-F370,"")</f>
        <v/>
      </c>
      <c r="I370" s="16"/>
    </row>
    <row r="371" customFormat="false" ht="15" hidden="false" customHeight="false" outlineLevel="0" collapsed="false">
      <c r="A371" s="15"/>
      <c r="B371" s="16"/>
      <c r="C371" s="13" t="str">
        <f aca="false">IFERROR(IF(B371="","",VLOOKUP(B371,Inventory!A:B,2,FALSE())),"")</f>
        <v/>
      </c>
      <c r="D371" s="16"/>
      <c r="E371" s="16"/>
      <c r="F371" s="15"/>
      <c r="G371" s="15"/>
      <c r="H371" s="17" t="str">
        <f aca="true">IF(AND(A371&lt;&gt;"",G371="",F371&lt;&gt;"",F371&lt;TODAY()),TODAY()-F371,"")</f>
        <v/>
      </c>
      <c r="I371" s="16"/>
    </row>
    <row r="372" customFormat="false" ht="15" hidden="false" customHeight="false" outlineLevel="0" collapsed="false">
      <c r="A372" s="15"/>
      <c r="B372" s="16"/>
      <c r="C372" s="13" t="str">
        <f aca="false">IFERROR(IF(B372="","",VLOOKUP(B372,Inventory!A:B,2,FALSE())),"")</f>
        <v/>
      </c>
      <c r="D372" s="16"/>
      <c r="E372" s="16"/>
      <c r="F372" s="15"/>
      <c r="G372" s="15"/>
      <c r="H372" s="17" t="str">
        <f aca="true">IF(AND(A372&lt;&gt;"",G372="",F372&lt;&gt;"",F372&lt;TODAY()),TODAY()-F372,"")</f>
        <v/>
      </c>
      <c r="I372" s="16"/>
    </row>
    <row r="373" customFormat="false" ht="15" hidden="false" customHeight="false" outlineLevel="0" collapsed="false">
      <c r="A373" s="15"/>
      <c r="B373" s="16"/>
      <c r="C373" s="13" t="str">
        <f aca="false">IFERROR(IF(B373="","",VLOOKUP(B373,Inventory!A:B,2,FALSE())),"")</f>
        <v/>
      </c>
      <c r="D373" s="16"/>
      <c r="E373" s="16"/>
      <c r="F373" s="15"/>
      <c r="G373" s="15"/>
      <c r="H373" s="17" t="str">
        <f aca="true">IF(AND(A373&lt;&gt;"",G373="",F373&lt;&gt;"",F373&lt;TODAY()),TODAY()-F373,"")</f>
        <v/>
      </c>
      <c r="I373" s="16"/>
    </row>
    <row r="374" customFormat="false" ht="15" hidden="false" customHeight="false" outlineLevel="0" collapsed="false">
      <c r="A374" s="15"/>
      <c r="B374" s="16"/>
      <c r="C374" s="13" t="str">
        <f aca="false">IFERROR(IF(B374="","",VLOOKUP(B374,Inventory!A:B,2,FALSE())),"")</f>
        <v/>
      </c>
      <c r="D374" s="16"/>
      <c r="E374" s="16"/>
      <c r="F374" s="15"/>
      <c r="G374" s="15"/>
      <c r="H374" s="17" t="str">
        <f aca="true">IF(AND(A374&lt;&gt;"",G374="",F374&lt;&gt;"",F374&lt;TODAY()),TODAY()-F374,"")</f>
        <v/>
      </c>
      <c r="I374" s="16"/>
    </row>
    <row r="375" customFormat="false" ht="15" hidden="false" customHeight="false" outlineLevel="0" collapsed="false">
      <c r="A375" s="15"/>
      <c r="B375" s="16"/>
      <c r="C375" s="13" t="str">
        <f aca="false">IFERROR(IF(B375="","",VLOOKUP(B375,Inventory!A:B,2,FALSE())),"")</f>
        <v/>
      </c>
      <c r="D375" s="16"/>
      <c r="E375" s="16"/>
      <c r="F375" s="15"/>
      <c r="G375" s="15"/>
      <c r="H375" s="17" t="str">
        <f aca="true">IF(AND(A375&lt;&gt;"",G375="",F375&lt;&gt;"",F375&lt;TODAY()),TODAY()-F375,"")</f>
        <v/>
      </c>
      <c r="I375" s="16"/>
    </row>
    <row r="376" customFormat="false" ht="15" hidden="false" customHeight="false" outlineLevel="0" collapsed="false">
      <c r="A376" s="15"/>
      <c r="B376" s="16"/>
      <c r="C376" s="13" t="str">
        <f aca="false">IFERROR(IF(B376="","",VLOOKUP(B376,Inventory!A:B,2,FALSE())),"")</f>
        <v/>
      </c>
      <c r="D376" s="16"/>
      <c r="E376" s="16"/>
      <c r="F376" s="15"/>
      <c r="G376" s="15"/>
      <c r="H376" s="17" t="str">
        <f aca="true">IF(AND(A376&lt;&gt;"",G376="",F376&lt;&gt;"",F376&lt;TODAY()),TODAY()-F376,"")</f>
        <v/>
      </c>
      <c r="I376" s="16"/>
    </row>
    <row r="377" customFormat="false" ht="15" hidden="false" customHeight="false" outlineLevel="0" collapsed="false">
      <c r="A377" s="15"/>
      <c r="B377" s="16"/>
      <c r="C377" s="13" t="str">
        <f aca="false">IFERROR(IF(B377="","",VLOOKUP(B377,Inventory!A:B,2,FALSE())),"")</f>
        <v/>
      </c>
      <c r="D377" s="16"/>
      <c r="E377" s="16"/>
      <c r="F377" s="15"/>
      <c r="G377" s="15"/>
      <c r="H377" s="17" t="str">
        <f aca="true">IF(AND(A377&lt;&gt;"",G377="",F377&lt;&gt;"",F377&lt;TODAY()),TODAY()-F377,"")</f>
        <v/>
      </c>
      <c r="I377" s="16"/>
    </row>
    <row r="378" customFormat="false" ht="15" hidden="false" customHeight="false" outlineLevel="0" collapsed="false">
      <c r="A378" s="15"/>
      <c r="B378" s="16"/>
      <c r="C378" s="13" t="str">
        <f aca="false">IFERROR(IF(B378="","",VLOOKUP(B378,Inventory!A:B,2,FALSE())),"")</f>
        <v/>
      </c>
      <c r="D378" s="16"/>
      <c r="E378" s="16"/>
      <c r="F378" s="15"/>
      <c r="G378" s="15"/>
      <c r="H378" s="17" t="str">
        <f aca="true">IF(AND(A378&lt;&gt;"",G378="",F378&lt;&gt;"",F378&lt;TODAY()),TODAY()-F378,"")</f>
        <v/>
      </c>
      <c r="I378" s="16"/>
    </row>
    <row r="379" customFormat="false" ht="15" hidden="false" customHeight="false" outlineLevel="0" collapsed="false">
      <c r="A379" s="15"/>
      <c r="B379" s="16"/>
      <c r="C379" s="13" t="str">
        <f aca="false">IFERROR(IF(B379="","",VLOOKUP(B379,Inventory!A:B,2,FALSE())),"")</f>
        <v/>
      </c>
      <c r="D379" s="16"/>
      <c r="E379" s="16"/>
      <c r="F379" s="15"/>
      <c r="G379" s="15"/>
      <c r="H379" s="17" t="str">
        <f aca="true">IF(AND(A379&lt;&gt;"",G379="",F379&lt;&gt;"",F379&lt;TODAY()),TODAY()-F379,"")</f>
        <v/>
      </c>
      <c r="I379" s="16"/>
    </row>
    <row r="380" customFormat="false" ht="15" hidden="false" customHeight="false" outlineLevel="0" collapsed="false">
      <c r="A380" s="15"/>
      <c r="B380" s="16"/>
      <c r="C380" s="13" t="str">
        <f aca="false">IFERROR(IF(B380="","",VLOOKUP(B380,Inventory!A:B,2,FALSE())),"")</f>
        <v/>
      </c>
      <c r="D380" s="16"/>
      <c r="E380" s="16"/>
      <c r="F380" s="15"/>
      <c r="G380" s="15"/>
      <c r="H380" s="17" t="str">
        <f aca="true">IF(AND(A380&lt;&gt;"",G380="",F380&lt;&gt;"",F380&lt;TODAY()),TODAY()-F380,"")</f>
        <v/>
      </c>
      <c r="I380" s="16"/>
    </row>
    <row r="381" customFormat="false" ht="15" hidden="false" customHeight="false" outlineLevel="0" collapsed="false">
      <c r="A381" s="15"/>
      <c r="B381" s="16"/>
      <c r="C381" s="13" t="str">
        <f aca="false">IFERROR(IF(B381="","",VLOOKUP(B381,Inventory!A:B,2,FALSE())),"")</f>
        <v/>
      </c>
      <c r="D381" s="16"/>
      <c r="E381" s="16"/>
      <c r="F381" s="15"/>
      <c r="G381" s="15"/>
      <c r="H381" s="17" t="str">
        <f aca="true">IF(AND(A381&lt;&gt;"",G381="",F381&lt;&gt;"",F381&lt;TODAY()),TODAY()-F381,"")</f>
        <v/>
      </c>
      <c r="I381" s="16"/>
    </row>
    <row r="382" customFormat="false" ht="15" hidden="false" customHeight="false" outlineLevel="0" collapsed="false">
      <c r="A382" s="15"/>
      <c r="B382" s="16"/>
      <c r="C382" s="13" t="str">
        <f aca="false">IFERROR(IF(B382="","",VLOOKUP(B382,Inventory!A:B,2,FALSE())),"")</f>
        <v/>
      </c>
      <c r="D382" s="16"/>
      <c r="E382" s="16"/>
      <c r="F382" s="15"/>
      <c r="G382" s="15"/>
      <c r="H382" s="17" t="str">
        <f aca="true">IF(AND(A382&lt;&gt;"",G382="",F382&lt;&gt;"",F382&lt;TODAY()),TODAY()-F382,"")</f>
        <v/>
      </c>
      <c r="I382" s="16"/>
    </row>
    <row r="383" customFormat="false" ht="15" hidden="false" customHeight="false" outlineLevel="0" collapsed="false">
      <c r="A383" s="15"/>
      <c r="B383" s="16"/>
      <c r="C383" s="13" t="str">
        <f aca="false">IFERROR(IF(B383="","",VLOOKUP(B383,Inventory!A:B,2,FALSE())),"")</f>
        <v/>
      </c>
      <c r="D383" s="16"/>
      <c r="E383" s="16"/>
      <c r="F383" s="15"/>
      <c r="G383" s="15"/>
      <c r="H383" s="17" t="str">
        <f aca="true">IF(AND(A383&lt;&gt;"",G383="",F383&lt;&gt;"",F383&lt;TODAY()),TODAY()-F383,"")</f>
        <v/>
      </c>
      <c r="I383" s="16"/>
    </row>
    <row r="384" customFormat="false" ht="15" hidden="false" customHeight="false" outlineLevel="0" collapsed="false">
      <c r="A384" s="15"/>
      <c r="B384" s="16"/>
      <c r="C384" s="13" t="str">
        <f aca="false">IFERROR(IF(B384="","",VLOOKUP(B384,Inventory!A:B,2,FALSE())),"")</f>
        <v/>
      </c>
      <c r="D384" s="16"/>
      <c r="E384" s="16"/>
      <c r="F384" s="15"/>
      <c r="G384" s="15"/>
      <c r="H384" s="17" t="str">
        <f aca="true">IF(AND(A384&lt;&gt;"",G384="",F384&lt;&gt;"",F384&lt;TODAY()),TODAY()-F384,"")</f>
        <v/>
      </c>
      <c r="I384" s="16"/>
    </row>
    <row r="385" customFormat="false" ht="15" hidden="false" customHeight="false" outlineLevel="0" collapsed="false">
      <c r="A385" s="15"/>
      <c r="B385" s="16"/>
      <c r="C385" s="13" t="str">
        <f aca="false">IFERROR(IF(B385="","",VLOOKUP(B385,Inventory!A:B,2,FALSE())),"")</f>
        <v/>
      </c>
      <c r="D385" s="16"/>
      <c r="E385" s="16"/>
      <c r="F385" s="15"/>
      <c r="G385" s="15"/>
      <c r="H385" s="17" t="str">
        <f aca="true">IF(AND(A385&lt;&gt;"",G385="",F385&lt;&gt;"",F385&lt;TODAY()),TODAY()-F385,"")</f>
        <v/>
      </c>
      <c r="I385" s="16"/>
    </row>
    <row r="386" customFormat="false" ht="15" hidden="false" customHeight="false" outlineLevel="0" collapsed="false">
      <c r="A386" s="15"/>
      <c r="B386" s="16"/>
      <c r="C386" s="13" t="str">
        <f aca="false">IFERROR(IF(B386="","",VLOOKUP(B386,Inventory!A:B,2,FALSE())),"")</f>
        <v/>
      </c>
      <c r="D386" s="16"/>
      <c r="E386" s="16"/>
      <c r="F386" s="15"/>
      <c r="G386" s="15"/>
      <c r="H386" s="17" t="str">
        <f aca="true">IF(AND(A386&lt;&gt;"",G386="",F386&lt;&gt;"",F386&lt;TODAY()),TODAY()-F386,"")</f>
        <v/>
      </c>
      <c r="I386" s="16"/>
    </row>
    <row r="387" customFormat="false" ht="15" hidden="false" customHeight="false" outlineLevel="0" collapsed="false">
      <c r="A387" s="15"/>
      <c r="B387" s="16"/>
      <c r="C387" s="13" t="str">
        <f aca="false">IFERROR(IF(B387="","",VLOOKUP(B387,Inventory!A:B,2,FALSE())),"")</f>
        <v/>
      </c>
      <c r="D387" s="16"/>
      <c r="E387" s="16"/>
      <c r="F387" s="15"/>
      <c r="G387" s="15"/>
      <c r="H387" s="17" t="str">
        <f aca="true">IF(AND(A387&lt;&gt;"",G387="",F387&lt;&gt;"",F387&lt;TODAY()),TODAY()-F387,"")</f>
        <v/>
      </c>
      <c r="I387" s="16"/>
    </row>
    <row r="388" customFormat="false" ht="15" hidden="false" customHeight="false" outlineLevel="0" collapsed="false">
      <c r="A388" s="15"/>
      <c r="B388" s="16"/>
      <c r="C388" s="13" t="str">
        <f aca="false">IFERROR(IF(B388="","",VLOOKUP(B388,Inventory!A:B,2,FALSE())),"")</f>
        <v/>
      </c>
      <c r="D388" s="16"/>
      <c r="E388" s="16"/>
      <c r="F388" s="15"/>
      <c r="G388" s="15"/>
      <c r="H388" s="17" t="str">
        <f aca="true">IF(AND(A388&lt;&gt;"",G388="",F388&lt;&gt;"",F388&lt;TODAY()),TODAY()-F388,"")</f>
        <v/>
      </c>
      <c r="I388" s="16"/>
    </row>
    <row r="389" customFormat="false" ht="15" hidden="false" customHeight="false" outlineLevel="0" collapsed="false">
      <c r="A389" s="15"/>
      <c r="B389" s="16"/>
      <c r="C389" s="13" t="str">
        <f aca="false">IFERROR(IF(B389="","",VLOOKUP(B389,Inventory!A:B,2,FALSE())),"")</f>
        <v/>
      </c>
      <c r="D389" s="16"/>
      <c r="E389" s="16"/>
      <c r="F389" s="15"/>
      <c r="G389" s="15"/>
      <c r="H389" s="17" t="str">
        <f aca="true">IF(AND(A389&lt;&gt;"",G389="",F389&lt;&gt;"",F389&lt;TODAY()),TODAY()-F389,"")</f>
        <v/>
      </c>
      <c r="I389" s="16"/>
    </row>
    <row r="390" customFormat="false" ht="15" hidden="false" customHeight="false" outlineLevel="0" collapsed="false">
      <c r="A390" s="15"/>
      <c r="B390" s="16"/>
      <c r="C390" s="13" t="str">
        <f aca="false">IFERROR(IF(B390="","",VLOOKUP(B390,Inventory!A:B,2,FALSE())),"")</f>
        <v/>
      </c>
      <c r="D390" s="16"/>
      <c r="E390" s="16"/>
      <c r="F390" s="15"/>
      <c r="G390" s="15"/>
      <c r="H390" s="17" t="str">
        <f aca="true">IF(AND(A390&lt;&gt;"",G390="",F390&lt;&gt;"",F390&lt;TODAY()),TODAY()-F390,"")</f>
        <v/>
      </c>
      <c r="I390" s="16"/>
    </row>
    <row r="391" customFormat="false" ht="15" hidden="false" customHeight="false" outlineLevel="0" collapsed="false">
      <c r="A391" s="15"/>
      <c r="B391" s="16"/>
      <c r="C391" s="13" t="str">
        <f aca="false">IFERROR(IF(B391="","",VLOOKUP(B391,Inventory!A:B,2,FALSE())),"")</f>
        <v/>
      </c>
      <c r="D391" s="16"/>
      <c r="E391" s="16"/>
      <c r="F391" s="15"/>
      <c r="G391" s="15"/>
      <c r="H391" s="17" t="str">
        <f aca="true">IF(AND(A391&lt;&gt;"",G391="",F391&lt;&gt;"",F391&lt;TODAY()),TODAY()-F391,"")</f>
        <v/>
      </c>
      <c r="I391" s="16"/>
    </row>
    <row r="392" customFormat="false" ht="15" hidden="false" customHeight="false" outlineLevel="0" collapsed="false">
      <c r="A392" s="15"/>
      <c r="B392" s="16"/>
      <c r="C392" s="13" t="str">
        <f aca="false">IFERROR(IF(B392="","",VLOOKUP(B392,Inventory!A:B,2,FALSE())),"")</f>
        <v/>
      </c>
      <c r="D392" s="16"/>
      <c r="E392" s="16"/>
      <c r="F392" s="15"/>
      <c r="G392" s="15"/>
      <c r="H392" s="17" t="str">
        <f aca="true">IF(AND(A392&lt;&gt;"",G392="",F392&lt;&gt;"",F392&lt;TODAY()),TODAY()-F392,"")</f>
        <v/>
      </c>
      <c r="I392" s="16"/>
    </row>
    <row r="393" customFormat="false" ht="15" hidden="false" customHeight="false" outlineLevel="0" collapsed="false">
      <c r="A393" s="15"/>
      <c r="B393" s="16"/>
      <c r="C393" s="13" t="str">
        <f aca="false">IFERROR(IF(B393="","",VLOOKUP(B393,Inventory!A:B,2,FALSE())),"")</f>
        <v/>
      </c>
      <c r="D393" s="16"/>
      <c r="E393" s="16"/>
      <c r="F393" s="15"/>
      <c r="G393" s="15"/>
      <c r="H393" s="17" t="str">
        <f aca="true">IF(AND(A393&lt;&gt;"",G393="",F393&lt;&gt;"",F393&lt;TODAY()),TODAY()-F393,"")</f>
        <v/>
      </c>
      <c r="I393" s="16"/>
    </row>
    <row r="394" customFormat="false" ht="15" hidden="false" customHeight="false" outlineLevel="0" collapsed="false">
      <c r="A394" s="15"/>
      <c r="B394" s="16"/>
      <c r="C394" s="13" t="str">
        <f aca="false">IFERROR(IF(B394="","",VLOOKUP(B394,Inventory!A:B,2,FALSE())),"")</f>
        <v/>
      </c>
      <c r="D394" s="16"/>
      <c r="E394" s="16"/>
      <c r="F394" s="15"/>
      <c r="G394" s="15"/>
      <c r="H394" s="17" t="str">
        <f aca="true">IF(AND(A394&lt;&gt;"",G394="",F394&lt;&gt;"",F394&lt;TODAY()),TODAY()-F394,"")</f>
        <v/>
      </c>
      <c r="I394" s="16"/>
    </row>
    <row r="395" customFormat="false" ht="15" hidden="false" customHeight="false" outlineLevel="0" collapsed="false">
      <c r="A395" s="15"/>
      <c r="B395" s="16"/>
      <c r="C395" s="13" t="str">
        <f aca="false">IFERROR(IF(B395="","",VLOOKUP(B395,Inventory!A:B,2,FALSE())),"")</f>
        <v/>
      </c>
      <c r="D395" s="16"/>
      <c r="E395" s="16"/>
      <c r="F395" s="15"/>
      <c r="G395" s="15"/>
      <c r="H395" s="17" t="str">
        <f aca="true">IF(AND(A395&lt;&gt;"",G395="",F395&lt;&gt;"",F395&lt;TODAY()),TODAY()-F395,"")</f>
        <v/>
      </c>
      <c r="I395" s="16"/>
    </row>
    <row r="396" customFormat="false" ht="15" hidden="false" customHeight="false" outlineLevel="0" collapsed="false">
      <c r="A396" s="15"/>
      <c r="B396" s="16"/>
      <c r="C396" s="13" t="str">
        <f aca="false">IFERROR(IF(B396="","",VLOOKUP(B396,Inventory!A:B,2,FALSE())),"")</f>
        <v/>
      </c>
      <c r="D396" s="16"/>
      <c r="E396" s="16"/>
      <c r="F396" s="15"/>
      <c r="G396" s="15"/>
      <c r="H396" s="17" t="str">
        <f aca="true">IF(AND(A396&lt;&gt;"",G396="",F396&lt;&gt;"",F396&lt;TODAY()),TODAY()-F396,"")</f>
        <v/>
      </c>
      <c r="I396" s="16"/>
    </row>
    <row r="397" customFormat="false" ht="15" hidden="false" customHeight="false" outlineLevel="0" collapsed="false">
      <c r="A397" s="15"/>
      <c r="B397" s="16"/>
      <c r="C397" s="13" t="str">
        <f aca="false">IFERROR(IF(B397="","",VLOOKUP(B397,Inventory!A:B,2,FALSE())),"")</f>
        <v/>
      </c>
      <c r="D397" s="16"/>
      <c r="E397" s="16"/>
      <c r="F397" s="15"/>
      <c r="G397" s="15"/>
      <c r="H397" s="17" t="str">
        <f aca="true">IF(AND(A397&lt;&gt;"",G397="",F397&lt;&gt;"",F397&lt;TODAY()),TODAY()-F397,"")</f>
        <v/>
      </c>
      <c r="I397" s="16"/>
    </row>
    <row r="398" customFormat="false" ht="15" hidden="false" customHeight="false" outlineLevel="0" collapsed="false">
      <c r="A398" s="15"/>
      <c r="B398" s="16"/>
      <c r="C398" s="13" t="str">
        <f aca="false">IFERROR(IF(B398="","",VLOOKUP(B398,Inventory!A:B,2,FALSE())),"")</f>
        <v/>
      </c>
      <c r="D398" s="16"/>
      <c r="E398" s="16"/>
      <c r="F398" s="15"/>
      <c r="G398" s="15"/>
      <c r="H398" s="17" t="str">
        <f aca="true">IF(AND(A398&lt;&gt;"",G398="",F398&lt;&gt;"",F398&lt;TODAY()),TODAY()-F398,"")</f>
        <v/>
      </c>
      <c r="I398" s="16"/>
    </row>
    <row r="399" customFormat="false" ht="15" hidden="false" customHeight="false" outlineLevel="0" collapsed="false">
      <c r="A399" s="15"/>
      <c r="B399" s="16"/>
      <c r="C399" s="13" t="str">
        <f aca="false">IFERROR(IF(B399="","",VLOOKUP(B399,Inventory!A:B,2,FALSE())),"")</f>
        <v/>
      </c>
      <c r="D399" s="16"/>
      <c r="E399" s="16"/>
      <c r="F399" s="15"/>
      <c r="G399" s="15"/>
      <c r="H399" s="17" t="str">
        <f aca="true">IF(AND(A399&lt;&gt;"",G399="",F399&lt;&gt;"",F399&lt;TODAY()),TODAY()-F399,"")</f>
        <v/>
      </c>
      <c r="I399" s="16"/>
    </row>
    <row r="400" customFormat="false" ht="15" hidden="false" customHeight="false" outlineLevel="0" collapsed="false">
      <c r="A400" s="15"/>
      <c r="B400" s="16"/>
      <c r="C400" s="13" t="str">
        <f aca="false">IFERROR(IF(B400="","",VLOOKUP(B400,Inventory!A:B,2,FALSE())),"")</f>
        <v/>
      </c>
      <c r="D400" s="16"/>
      <c r="E400" s="16"/>
      <c r="F400" s="15"/>
      <c r="G400" s="15"/>
      <c r="H400" s="17" t="str">
        <f aca="true">IF(AND(A400&lt;&gt;"",G400="",F400&lt;&gt;"",F400&lt;TODAY()),TODAY()-F400,"")</f>
        <v/>
      </c>
      <c r="I400" s="16"/>
    </row>
    <row r="401" customFormat="false" ht="15" hidden="false" customHeight="false" outlineLevel="0" collapsed="false">
      <c r="A401" s="15"/>
      <c r="B401" s="16"/>
      <c r="C401" s="13" t="str">
        <f aca="false">IFERROR(IF(B401="","",VLOOKUP(B401,Inventory!A:B,2,FALSE())),"")</f>
        <v/>
      </c>
      <c r="D401" s="16"/>
      <c r="E401" s="16"/>
      <c r="F401" s="15"/>
      <c r="G401" s="15"/>
      <c r="H401" s="17" t="str">
        <f aca="true">IF(AND(A401&lt;&gt;"",G401="",F401&lt;&gt;"",F401&lt;TODAY()),TODAY()-F401,"")</f>
        <v/>
      </c>
      <c r="I401" s="16"/>
    </row>
    <row r="402" customFormat="false" ht="15" hidden="false" customHeight="false" outlineLevel="0" collapsed="false">
      <c r="A402" s="15"/>
      <c r="B402" s="16"/>
      <c r="C402" s="13" t="str">
        <f aca="false">IFERROR(IF(B402="","",VLOOKUP(B402,Inventory!A:B,2,FALSE())),"")</f>
        <v/>
      </c>
      <c r="D402" s="16"/>
      <c r="E402" s="16"/>
      <c r="F402" s="15"/>
      <c r="G402" s="15"/>
      <c r="H402" s="17" t="str">
        <f aca="true">IF(AND(A402&lt;&gt;"",G402="",F402&lt;&gt;"",F402&lt;TODAY()),TODAY()-F402,"")</f>
        <v/>
      </c>
      <c r="I402" s="16"/>
    </row>
    <row r="403" customFormat="false" ht="15" hidden="false" customHeight="false" outlineLevel="0" collapsed="false">
      <c r="A403" s="15"/>
      <c r="B403" s="16"/>
      <c r="C403" s="13" t="str">
        <f aca="false">IFERROR(IF(B403="","",VLOOKUP(B403,Inventory!A:B,2,FALSE())),"")</f>
        <v/>
      </c>
      <c r="D403" s="16"/>
      <c r="E403" s="16"/>
      <c r="F403" s="15"/>
      <c r="G403" s="15"/>
      <c r="H403" s="17" t="str">
        <f aca="true">IF(AND(A403&lt;&gt;"",G403="",F403&lt;&gt;"",F403&lt;TODAY()),TODAY()-F403,"")</f>
        <v/>
      </c>
      <c r="I403" s="16"/>
    </row>
    <row r="404" customFormat="false" ht="15" hidden="false" customHeight="false" outlineLevel="0" collapsed="false">
      <c r="A404" s="15"/>
      <c r="B404" s="16"/>
      <c r="C404" s="13" t="str">
        <f aca="false">IFERROR(IF(B404="","",VLOOKUP(B404,Inventory!A:B,2,FALSE())),"")</f>
        <v/>
      </c>
      <c r="D404" s="16"/>
      <c r="E404" s="16"/>
      <c r="F404" s="15"/>
      <c r="G404" s="15"/>
      <c r="H404" s="17" t="str">
        <f aca="true">IF(AND(A404&lt;&gt;"",G404="",F404&lt;&gt;"",F404&lt;TODAY()),TODAY()-F404,"")</f>
        <v/>
      </c>
      <c r="I404" s="16"/>
    </row>
    <row r="405" customFormat="false" ht="15" hidden="false" customHeight="false" outlineLevel="0" collapsed="false">
      <c r="A405" s="15"/>
      <c r="B405" s="16"/>
      <c r="C405" s="13" t="str">
        <f aca="false">IFERROR(IF(B405="","",VLOOKUP(B405,Inventory!A:B,2,FALSE())),"")</f>
        <v/>
      </c>
      <c r="D405" s="16"/>
      <c r="E405" s="16"/>
      <c r="F405" s="15"/>
      <c r="G405" s="15"/>
      <c r="H405" s="17" t="str">
        <f aca="true">IF(AND(A405&lt;&gt;"",G405="",F405&lt;&gt;"",F405&lt;TODAY()),TODAY()-F405,"")</f>
        <v/>
      </c>
      <c r="I405" s="16"/>
    </row>
    <row r="406" customFormat="false" ht="15" hidden="false" customHeight="false" outlineLevel="0" collapsed="false">
      <c r="A406" s="15"/>
      <c r="B406" s="16"/>
      <c r="C406" s="13" t="str">
        <f aca="false">IFERROR(IF(B406="","",VLOOKUP(B406,Inventory!A:B,2,FALSE())),"")</f>
        <v/>
      </c>
      <c r="D406" s="16"/>
      <c r="E406" s="16"/>
      <c r="F406" s="15"/>
      <c r="G406" s="15"/>
      <c r="H406" s="17" t="str">
        <f aca="true">IF(AND(A406&lt;&gt;"",G406="",F406&lt;&gt;"",F406&lt;TODAY()),TODAY()-F406,"")</f>
        <v/>
      </c>
      <c r="I406" s="16"/>
    </row>
    <row r="407" customFormat="false" ht="15" hidden="false" customHeight="false" outlineLevel="0" collapsed="false">
      <c r="A407" s="15"/>
      <c r="B407" s="16"/>
      <c r="C407" s="13" t="str">
        <f aca="false">IFERROR(IF(B407="","",VLOOKUP(B407,Inventory!A:B,2,FALSE())),"")</f>
        <v/>
      </c>
      <c r="D407" s="16"/>
      <c r="E407" s="16"/>
      <c r="F407" s="15"/>
      <c r="G407" s="15"/>
      <c r="H407" s="17" t="str">
        <f aca="true">IF(AND(A407&lt;&gt;"",G407="",F407&lt;&gt;"",F407&lt;TODAY()),TODAY()-F407,"")</f>
        <v/>
      </c>
      <c r="I407" s="16"/>
    </row>
    <row r="408" customFormat="false" ht="15" hidden="false" customHeight="false" outlineLevel="0" collapsed="false">
      <c r="A408" s="15"/>
      <c r="B408" s="16"/>
      <c r="C408" s="13" t="str">
        <f aca="false">IFERROR(IF(B408="","",VLOOKUP(B408,Inventory!A:B,2,FALSE())),"")</f>
        <v/>
      </c>
      <c r="D408" s="16"/>
      <c r="E408" s="16"/>
      <c r="F408" s="15"/>
      <c r="G408" s="15"/>
      <c r="H408" s="17" t="str">
        <f aca="true">IF(AND(A408&lt;&gt;"",G408="",F408&lt;&gt;"",F408&lt;TODAY()),TODAY()-F408,"")</f>
        <v/>
      </c>
      <c r="I408" s="16"/>
    </row>
    <row r="409" customFormat="false" ht="15" hidden="false" customHeight="false" outlineLevel="0" collapsed="false">
      <c r="A409" s="15"/>
      <c r="B409" s="16"/>
      <c r="C409" s="13" t="str">
        <f aca="false">IFERROR(IF(B409="","",VLOOKUP(B409,Inventory!A:B,2,FALSE())),"")</f>
        <v/>
      </c>
      <c r="D409" s="16"/>
      <c r="E409" s="16"/>
      <c r="F409" s="15"/>
      <c r="G409" s="15"/>
      <c r="H409" s="17" t="str">
        <f aca="true">IF(AND(A409&lt;&gt;"",G409="",F409&lt;&gt;"",F409&lt;TODAY()),TODAY()-F409,"")</f>
        <v/>
      </c>
      <c r="I409" s="16"/>
    </row>
    <row r="410" customFormat="false" ht="15" hidden="false" customHeight="false" outlineLevel="0" collapsed="false">
      <c r="A410" s="15"/>
      <c r="B410" s="16"/>
      <c r="C410" s="13" t="str">
        <f aca="false">IFERROR(IF(B410="","",VLOOKUP(B410,Inventory!A:B,2,FALSE())),"")</f>
        <v/>
      </c>
      <c r="D410" s="16"/>
      <c r="E410" s="16"/>
      <c r="F410" s="15"/>
      <c r="G410" s="15"/>
      <c r="H410" s="17" t="str">
        <f aca="true">IF(AND(A410&lt;&gt;"",G410="",F410&lt;&gt;"",F410&lt;TODAY()),TODAY()-F410,"")</f>
        <v/>
      </c>
      <c r="I410" s="16"/>
    </row>
    <row r="411" customFormat="false" ht="15" hidden="false" customHeight="false" outlineLevel="0" collapsed="false">
      <c r="A411" s="15"/>
      <c r="B411" s="16"/>
      <c r="C411" s="13" t="str">
        <f aca="false">IFERROR(IF(B411="","",VLOOKUP(B411,Inventory!A:B,2,FALSE())),"")</f>
        <v/>
      </c>
      <c r="D411" s="16"/>
      <c r="E411" s="16"/>
      <c r="F411" s="15"/>
      <c r="G411" s="15"/>
      <c r="H411" s="17" t="str">
        <f aca="true">IF(AND(A411&lt;&gt;"",G411="",F411&lt;&gt;"",F411&lt;TODAY()),TODAY()-F411,"")</f>
        <v/>
      </c>
      <c r="I411" s="16"/>
    </row>
    <row r="412" customFormat="false" ht="15" hidden="false" customHeight="false" outlineLevel="0" collapsed="false">
      <c r="A412" s="15"/>
      <c r="B412" s="16"/>
      <c r="C412" s="13" t="str">
        <f aca="false">IFERROR(IF(B412="","",VLOOKUP(B412,Inventory!A:B,2,FALSE())),"")</f>
        <v/>
      </c>
      <c r="D412" s="16"/>
      <c r="E412" s="16"/>
      <c r="F412" s="15"/>
      <c r="G412" s="15"/>
      <c r="H412" s="17" t="str">
        <f aca="true">IF(AND(A412&lt;&gt;"",G412="",F412&lt;&gt;"",F412&lt;TODAY()),TODAY()-F412,"")</f>
        <v/>
      </c>
      <c r="I412" s="16"/>
    </row>
    <row r="413" customFormat="false" ht="15" hidden="false" customHeight="false" outlineLevel="0" collapsed="false">
      <c r="A413" s="15"/>
      <c r="B413" s="16"/>
      <c r="C413" s="13" t="str">
        <f aca="false">IFERROR(IF(B413="","",VLOOKUP(B413,Inventory!A:B,2,FALSE())),"")</f>
        <v/>
      </c>
      <c r="D413" s="16"/>
      <c r="E413" s="16"/>
      <c r="F413" s="15"/>
      <c r="G413" s="15"/>
      <c r="H413" s="17" t="str">
        <f aca="true">IF(AND(A413&lt;&gt;"",G413="",F413&lt;&gt;"",F413&lt;TODAY()),TODAY()-F413,"")</f>
        <v/>
      </c>
      <c r="I413" s="16"/>
    </row>
    <row r="414" customFormat="false" ht="15" hidden="false" customHeight="false" outlineLevel="0" collapsed="false">
      <c r="A414" s="15"/>
      <c r="B414" s="16"/>
      <c r="C414" s="13" t="str">
        <f aca="false">IFERROR(IF(B414="","",VLOOKUP(B414,Inventory!A:B,2,FALSE())),"")</f>
        <v/>
      </c>
      <c r="D414" s="16"/>
      <c r="E414" s="16"/>
      <c r="F414" s="15"/>
      <c r="G414" s="15"/>
      <c r="H414" s="17" t="str">
        <f aca="true">IF(AND(A414&lt;&gt;"",G414="",F414&lt;&gt;"",F414&lt;TODAY()),TODAY()-F414,"")</f>
        <v/>
      </c>
      <c r="I414" s="16"/>
    </row>
    <row r="415" customFormat="false" ht="15" hidden="false" customHeight="false" outlineLevel="0" collapsed="false">
      <c r="A415" s="15"/>
      <c r="B415" s="16"/>
      <c r="C415" s="13" t="str">
        <f aca="false">IFERROR(IF(B415="","",VLOOKUP(B415,Inventory!A:B,2,FALSE())),"")</f>
        <v/>
      </c>
      <c r="D415" s="16"/>
      <c r="E415" s="16"/>
      <c r="F415" s="15"/>
      <c r="G415" s="15"/>
      <c r="H415" s="17" t="str">
        <f aca="true">IF(AND(A415&lt;&gt;"",G415="",F415&lt;&gt;"",F415&lt;TODAY()),TODAY()-F415,"")</f>
        <v/>
      </c>
      <c r="I415" s="16"/>
    </row>
    <row r="416" customFormat="false" ht="15" hidden="false" customHeight="false" outlineLevel="0" collapsed="false">
      <c r="A416" s="15"/>
      <c r="B416" s="16"/>
      <c r="C416" s="13" t="str">
        <f aca="false">IFERROR(IF(B416="","",VLOOKUP(B416,Inventory!A:B,2,FALSE())),"")</f>
        <v/>
      </c>
      <c r="D416" s="16"/>
      <c r="E416" s="16"/>
      <c r="F416" s="15"/>
      <c r="G416" s="15"/>
      <c r="H416" s="17" t="str">
        <f aca="true">IF(AND(A416&lt;&gt;"",G416="",F416&lt;&gt;"",F416&lt;TODAY()),TODAY()-F416,"")</f>
        <v/>
      </c>
      <c r="I416" s="16"/>
    </row>
    <row r="417" customFormat="false" ht="15" hidden="false" customHeight="false" outlineLevel="0" collapsed="false">
      <c r="A417" s="15"/>
      <c r="B417" s="16"/>
      <c r="C417" s="13" t="str">
        <f aca="false">IFERROR(IF(B417="","",VLOOKUP(B417,Inventory!A:B,2,FALSE())),"")</f>
        <v/>
      </c>
      <c r="D417" s="16"/>
      <c r="E417" s="16"/>
      <c r="F417" s="15"/>
      <c r="G417" s="15"/>
      <c r="H417" s="17" t="str">
        <f aca="true">IF(AND(A417&lt;&gt;"",G417="",F417&lt;&gt;"",F417&lt;TODAY()),TODAY()-F417,"")</f>
        <v/>
      </c>
      <c r="I417" s="16"/>
    </row>
    <row r="418" customFormat="false" ht="15" hidden="false" customHeight="false" outlineLevel="0" collapsed="false">
      <c r="A418" s="15"/>
      <c r="B418" s="16"/>
      <c r="C418" s="13" t="str">
        <f aca="false">IFERROR(IF(B418="","",VLOOKUP(B418,Inventory!A:B,2,FALSE())),"")</f>
        <v/>
      </c>
      <c r="D418" s="16"/>
      <c r="E418" s="16"/>
      <c r="F418" s="15"/>
      <c r="G418" s="15"/>
      <c r="H418" s="17" t="str">
        <f aca="true">IF(AND(A418&lt;&gt;"",G418="",F418&lt;&gt;"",F418&lt;TODAY()),TODAY()-F418,"")</f>
        <v/>
      </c>
      <c r="I418" s="16"/>
    </row>
    <row r="419" customFormat="false" ht="15" hidden="false" customHeight="false" outlineLevel="0" collapsed="false">
      <c r="A419" s="15"/>
      <c r="B419" s="16"/>
      <c r="C419" s="13" t="str">
        <f aca="false">IFERROR(IF(B419="","",VLOOKUP(B419,Inventory!A:B,2,FALSE())),"")</f>
        <v/>
      </c>
      <c r="D419" s="16"/>
      <c r="E419" s="16"/>
      <c r="F419" s="15"/>
      <c r="G419" s="15"/>
      <c r="H419" s="17" t="str">
        <f aca="true">IF(AND(A419&lt;&gt;"",G419="",F419&lt;&gt;"",F419&lt;TODAY()),TODAY()-F419,"")</f>
        <v/>
      </c>
      <c r="I419" s="16"/>
    </row>
    <row r="420" customFormat="false" ht="15" hidden="false" customHeight="false" outlineLevel="0" collapsed="false">
      <c r="A420" s="15"/>
      <c r="B420" s="16"/>
      <c r="C420" s="13" t="str">
        <f aca="false">IFERROR(IF(B420="","",VLOOKUP(B420,Inventory!A:B,2,FALSE())),"")</f>
        <v/>
      </c>
      <c r="D420" s="16"/>
      <c r="E420" s="16"/>
      <c r="F420" s="15"/>
      <c r="G420" s="15"/>
      <c r="H420" s="17" t="str">
        <f aca="true">IF(AND(A420&lt;&gt;"",G420="",F420&lt;&gt;"",F420&lt;TODAY()),TODAY()-F420,"")</f>
        <v/>
      </c>
      <c r="I420" s="16"/>
    </row>
    <row r="421" customFormat="false" ht="15" hidden="false" customHeight="false" outlineLevel="0" collapsed="false">
      <c r="A421" s="15"/>
      <c r="B421" s="16"/>
      <c r="C421" s="13" t="str">
        <f aca="false">IFERROR(IF(B421="","",VLOOKUP(B421,Inventory!A:B,2,FALSE())),"")</f>
        <v/>
      </c>
      <c r="D421" s="16"/>
      <c r="E421" s="16"/>
      <c r="F421" s="15"/>
      <c r="G421" s="15"/>
      <c r="H421" s="17" t="str">
        <f aca="true">IF(AND(A421&lt;&gt;"",G421="",F421&lt;&gt;"",F421&lt;TODAY()),TODAY()-F421,"")</f>
        <v/>
      </c>
      <c r="I421" s="16"/>
    </row>
    <row r="422" customFormat="false" ht="15" hidden="false" customHeight="false" outlineLevel="0" collapsed="false">
      <c r="A422" s="15"/>
      <c r="B422" s="16"/>
      <c r="C422" s="13" t="str">
        <f aca="false">IFERROR(IF(B422="","",VLOOKUP(B422,Inventory!A:B,2,FALSE())),"")</f>
        <v/>
      </c>
      <c r="D422" s="16"/>
      <c r="E422" s="16"/>
      <c r="F422" s="15"/>
      <c r="G422" s="15"/>
      <c r="H422" s="17" t="str">
        <f aca="true">IF(AND(A422&lt;&gt;"",G422="",F422&lt;&gt;"",F422&lt;TODAY()),TODAY()-F422,"")</f>
        <v/>
      </c>
      <c r="I422" s="16"/>
    </row>
    <row r="423" customFormat="false" ht="15" hidden="false" customHeight="false" outlineLevel="0" collapsed="false">
      <c r="A423" s="15"/>
      <c r="B423" s="16"/>
      <c r="C423" s="13" t="str">
        <f aca="false">IFERROR(IF(B423="","",VLOOKUP(B423,Inventory!A:B,2,FALSE())),"")</f>
        <v/>
      </c>
      <c r="D423" s="16"/>
      <c r="E423" s="16"/>
      <c r="F423" s="15"/>
      <c r="G423" s="15"/>
      <c r="H423" s="17" t="str">
        <f aca="true">IF(AND(A423&lt;&gt;"",G423="",F423&lt;&gt;"",F423&lt;TODAY()),TODAY()-F423,"")</f>
        <v/>
      </c>
      <c r="I423" s="16"/>
    </row>
    <row r="424" customFormat="false" ht="15" hidden="false" customHeight="false" outlineLevel="0" collapsed="false">
      <c r="A424" s="15"/>
      <c r="B424" s="16"/>
      <c r="C424" s="13" t="str">
        <f aca="false">IFERROR(IF(B424="","",VLOOKUP(B424,Inventory!A:B,2,FALSE())),"")</f>
        <v/>
      </c>
      <c r="D424" s="16"/>
      <c r="E424" s="16"/>
      <c r="F424" s="15"/>
      <c r="G424" s="15"/>
      <c r="H424" s="17" t="str">
        <f aca="true">IF(AND(A424&lt;&gt;"",G424="",F424&lt;&gt;"",F424&lt;TODAY()),TODAY()-F424,"")</f>
        <v/>
      </c>
      <c r="I424" s="16"/>
    </row>
    <row r="425" customFormat="false" ht="15" hidden="false" customHeight="false" outlineLevel="0" collapsed="false">
      <c r="A425" s="15"/>
      <c r="B425" s="16"/>
      <c r="C425" s="13" t="str">
        <f aca="false">IFERROR(IF(B425="","",VLOOKUP(B425,Inventory!A:B,2,FALSE())),"")</f>
        <v/>
      </c>
      <c r="D425" s="16"/>
      <c r="E425" s="16"/>
      <c r="F425" s="15"/>
      <c r="G425" s="15"/>
      <c r="H425" s="17" t="str">
        <f aca="true">IF(AND(A425&lt;&gt;"",G425="",F425&lt;&gt;"",F425&lt;TODAY()),TODAY()-F425,"")</f>
        <v/>
      </c>
      <c r="I425" s="16"/>
    </row>
    <row r="426" customFormat="false" ht="15" hidden="false" customHeight="false" outlineLevel="0" collapsed="false">
      <c r="A426" s="15"/>
      <c r="B426" s="16"/>
      <c r="C426" s="13" t="str">
        <f aca="false">IFERROR(IF(B426="","",VLOOKUP(B426,Inventory!A:B,2,FALSE())),"")</f>
        <v/>
      </c>
      <c r="D426" s="16"/>
      <c r="E426" s="16"/>
      <c r="F426" s="15"/>
      <c r="G426" s="15"/>
      <c r="H426" s="17" t="str">
        <f aca="true">IF(AND(A426&lt;&gt;"",G426="",F426&lt;&gt;"",F426&lt;TODAY()),TODAY()-F426,"")</f>
        <v/>
      </c>
      <c r="I426" s="16"/>
    </row>
    <row r="427" customFormat="false" ht="15" hidden="false" customHeight="false" outlineLevel="0" collapsed="false">
      <c r="A427" s="15"/>
      <c r="B427" s="16"/>
      <c r="C427" s="13" t="str">
        <f aca="false">IFERROR(IF(B427="","",VLOOKUP(B427,Inventory!A:B,2,FALSE())),"")</f>
        <v/>
      </c>
      <c r="D427" s="16"/>
      <c r="E427" s="16"/>
      <c r="F427" s="15"/>
      <c r="G427" s="15"/>
      <c r="H427" s="17" t="str">
        <f aca="true">IF(AND(A427&lt;&gt;"",G427="",F427&lt;&gt;"",F427&lt;TODAY()),TODAY()-F427,"")</f>
        <v/>
      </c>
      <c r="I427" s="16"/>
    </row>
    <row r="428" customFormat="false" ht="15" hidden="false" customHeight="false" outlineLevel="0" collapsed="false">
      <c r="A428" s="15"/>
      <c r="B428" s="16"/>
      <c r="C428" s="13" t="str">
        <f aca="false">IFERROR(IF(B428="","",VLOOKUP(B428,Inventory!A:B,2,FALSE())),"")</f>
        <v/>
      </c>
      <c r="D428" s="16"/>
      <c r="E428" s="16"/>
      <c r="F428" s="15"/>
      <c r="G428" s="15"/>
      <c r="H428" s="17" t="str">
        <f aca="true">IF(AND(A428&lt;&gt;"",G428="",F428&lt;&gt;"",F428&lt;TODAY()),TODAY()-F428,"")</f>
        <v/>
      </c>
      <c r="I428" s="16"/>
    </row>
    <row r="429" customFormat="false" ht="15" hidden="false" customHeight="false" outlineLevel="0" collapsed="false">
      <c r="A429" s="15"/>
      <c r="B429" s="16"/>
      <c r="C429" s="13" t="str">
        <f aca="false">IFERROR(IF(B429="","",VLOOKUP(B429,Inventory!A:B,2,FALSE())),"")</f>
        <v/>
      </c>
      <c r="D429" s="16"/>
      <c r="E429" s="16"/>
      <c r="F429" s="15"/>
      <c r="G429" s="15"/>
      <c r="H429" s="17" t="str">
        <f aca="true">IF(AND(A429&lt;&gt;"",G429="",F429&lt;&gt;"",F429&lt;TODAY()),TODAY()-F429,"")</f>
        <v/>
      </c>
      <c r="I429" s="16"/>
    </row>
    <row r="430" customFormat="false" ht="15" hidden="false" customHeight="false" outlineLevel="0" collapsed="false">
      <c r="A430" s="15"/>
      <c r="B430" s="16"/>
      <c r="C430" s="13" t="str">
        <f aca="false">IFERROR(IF(B430="","",VLOOKUP(B430,Inventory!A:B,2,FALSE())),"")</f>
        <v/>
      </c>
      <c r="D430" s="16"/>
      <c r="E430" s="16"/>
      <c r="F430" s="15"/>
      <c r="G430" s="15"/>
      <c r="H430" s="17" t="str">
        <f aca="true">IF(AND(A430&lt;&gt;"",G430="",F430&lt;&gt;"",F430&lt;TODAY()),TODAY()-F430,"")</f>
        <v/>
      </c>
      <c r="I430" s="16"/>
    </row>
    <row r="431" customFormat="false" ht="15" hidden="false" customHeight="false" outlineLevel="0" collapsed="false">
      <c r="A431" s="15"/>
      <c r="B431" s="16"/>
      <c r="C431" s="13" t="str">
        <f aca="false">IFERROR(IF(B431="","",VLOOKUP(B431,Inventory!A:B,2,FALSE())),"")</f>
        <v/>
      </c>
      <c r="D431" s="16"/>
      <c r="E431" s="16"/>
      <c r="F431" s="15"/>
      <c r="G431" s="15"/>
      <c r="H431" s="17" t="str">
        <f aca="true">IF(AND(A431&lt;&gt;"",G431="",F431&lt;&gt;"",F431&lt;TODAY()),TODAY()-F431,"")</f>
        <v/>
      </c>
      <c r="I431" s="16"/>
    </row>
    <row r="432" customFormat="false" ht="15" hidden="false" customHeight="false" outlineLevel="0" collapsed="false">
      <c r="A432" s="15"/>
      <c r="B432" s="16"/>
      <c r="C432" s="13" t="str">
        <f aca="false">IFERROR(IF(B432="","",VLOOKUP(B432,Inventory!A:B,2,FALSE())),"")</f>
        <v/>
      </c>
      <c r="D432" s="16"/>
      <c r="E432" s="16"/>
      <c r="F432" s="15"/>
      <c r="G432" s="15"/>
      <c r="H432" s="17" t="str">
        <f aca="true">IF(AND(A432&lt;&gt;"",G432="",F432&lt;&gt;"",F432&lt;TODAY()),TODAY()-F432,"")</f>
        <v/>
      </c>
      <c r="I432" s="16"/>
    </row>
    <row r="433" customFormat="false" ht="15" hidden="false" customHeight="false" outlineLevel="0" collapsed="false">
      <c r="A433" s="15"/>
      <c r="B433" s="16"/>
      <c r="C433" s="13" t="str">
        <f aca="false">IFERROR(IF(B433="","",VLOOKUP(B433,Inventory!A:B,2,FALSE())),"")</f>
        <v/>
      </c>
      <c r="D433" s="16"/>
      <c r="E433" s="16"/>
      <c r="F433" s="15"/>
      <c r="G433" s="15"/>
      <c r="H433" s="17" t="str">
        <f aca="true">IF(AND(A433&lt;&gt;"",G433="",F433&lt;&gt;"",F433&lt;TODAY()),TODAY()-F433,"")</f>
        <v/>
      </c>
      <c r="I433" s="16"/>
    </row>
    <row r="434" customFormat="false" ht="15" hidden="false" customHeight="false" outlineLevel="0" collapsed="false">
      <c r="A434" s="15"/>
      <c r="B434" s="16"/>
      <c r="C434" s="13" t="str">
        <f aca="false">IFERROR(IF(B434="","",VLOOKUP(B434,Inventory!A:B,2,FALSE())),"")</f>
        <v/>
      </c>
      <c r="D434" s="16"/>
      <c r="E434" s="16"/>
      <c r="F434" s="15"/>
      <c r="G434" s="15"/>
      <c r="H434" s="17" t="str">
        <f aca="true">IF(AND(A434&lt;&gt;"",G434="",F434&lt;&gt;"",F434&lt;TODAY()),TODAY()-F434,"")</f>
        <v/>
      </c>
      <c r="I434" s="16"/>
    </row>
    <row r="435" customFormat="false" ht="15" hidden="false" customHeight="false" outlineLevel="0" collapsed="false">
      <c r="A435" s="15"/>
      <c r="B435" s="16"/>
      <c r="C435" s="13" t="str">
        <f aca="false">IFERROR(IF(B435="","",VLOOKUP(B435,Inventory!A:B,2,FALSE())),"")</f>
        <v/>
      </c>
      <c r="D435" s="16"/>
      <c r="E435" s="16"/>
      <c r="F435" s="15"/>
      <c r="G435" s="15"/>
      <c r="H435" s="17" t="str">
        <f aca="true">IF(AND(A435&lt;&gt;"",G435="",F435&lt;&gt;"",F435&lt;TODAY()),TODAY()-F435,"")</f>
        <v/>
      </c>
      <c r="I435" s="16"/>
    </row>
    <row r="436" customFormat="false" ht="15" hidden="false" customHeight="false" outlineLevel="0" collapsed="false">
      <c r="A436" s="15"/>
      <c r="B436" s="16"/>
      <c r="C436" s="13" t="str">
        <f aca="false">IFERROR(IF(B436="","",VLOOKUP(B436,Inventory!A:B,2,FALSE())),"")</f>
        <v/>
      </c>
      <c r="D436" s="16"/>
      <c r="E436" s="16"/>
      <c r="F436" s="15"/>
      <c r="G436" s="15"/>
      <c r="H436" s="17" t="str">
        <f aca="true">IF(AND(A436&lt;&gt;"",G436="",F436&lt;&gt;"",F436&lt;TODAY()),TODAY()-F436,"")</f>
        <v/>
      </c>
      <c r="I436" s="16"/>
    </row>
    <row r="437" customFormat="false" ht="15" hidden="false" customHeight="false" outlineLevel="0" collapsed="false">
      <c r="A437" s="15"/>
      <c r="B437" s="16"/>
      <c r="C437" s="13" t="str">
        <f aca="false">IFERROR(IF(B437="","",VLOOKUP(B437,Inventory!A:B,2,FALSE())),"")</f>
        <v/>
      </c>
      <c r="D437" s="16"/>
      <c r="E437" s="16"/>
      <c r="F437" s="15"/>
      <c r="G437" s="15"/>
      <c r="H437" s="17" t="str">
        <f aca="true">IF(AND(A437&lt;&gt;"",G437="",F437&lt;&gt;"",F437&lt;TODAY()),TODAY()-F437,"")</f>
        <v/>
      </c>
      <c r="I437" s="16"/>
    </row>
    <row r="438" customFormat="false" ht="15" hidden="false" customHeight="false" outlineLevel="0" collapsed="false">
      <c r="A438" s="15"/>
      <c r="B438" s="16"/>
      <c r="C438" s="13" t="str">
        <f aca="false">IFERROR(IF(B438="","",VLOOKUP(B438,Inventory!A:B,2,FALSE())),"")</f>
        <v/>
      </c>
      <c r="D438" s="16"/>
      <c r="E438" s="16"/>
      <c r="F438" s="15"/>
      <c r="G438" s="15"/>
      <c r="H438" s="17" t="str">
        <f aca="true">IF(AND(A438&lt;&gt;"",G438="",F438&lt;&gt;"",F438&lt;TODAY()),TODAY()-F438,"")</f>
        <v/>
      </c>
      <c r="I438" s="16"/>
    </row>
    <row r="439" customFormat="false" ht="15" hidden="false" customHeight="false" outlineLevel="0" collapsed="false">
      <c r="A439" s="15"/>
      <c r="B439" s="16"/>
      <c r="C439" s="13" t="str">
        <f aca="false">IFERROR(IF(B439="","",VLOOKUP(B439,Inventory!A:B,2,FALSE())),"")</f>
        <v/>
      </c>
      <c r="D439" s="16"/>
      <c r="E439" s="16"/>
      <c r="F439" s="15"/>
      <c r="G439" s="15"/>
      <c r="H439" s="17" t="str">
        <f aca="true">IF(AND(A439&lt;&gt;"",G439="",F439&lt;&gt;"",F439&lt;TODAY()),TODAY()-F439,"")</f>
        <v/>
      </c>
      <c r="I439" s="16"/>
    </row>
    <row r="440" customFormat="false" ht="15" hidden="false" customHeight="false" outlineLevel="0" collapsed="false">
      <c r="A440" s="15"/>
      <c r="B440" s="16"/>
      <c r="C440" s="13" t="str">
        <f aca="false">IFERROR(IF(B440="","",VLOOKUP(B440,Inventory!A:B,2,FALSE())),"")</f>
        <v/>
      </c>
      <c r="D440" s="16"/>
      <c r="E440" s="16"/>
      <c r="F440" s="15"/>
      <c r="G440" s="15"/>
      <c r="H440" s="17" t="str">
        <f aca="true">IF(AND(A440&lt;&gt;"",G440="",F440&lt;&gt;"",F440&lt;TODAY()),TODAY()-F440,"")</f>
        <v/>
      </c>
      <c r="I440" s="16"/>
    </row>
    <row r="441" customFormat="false" ht="15" hidden="false" customHeight="false" outlineLevel="0" collapsed="false">
      <c r="A441" s="15"/>
      <c r="B441" s="16"/>
      <c r="C441" s="13" t="str">
        <f aca="false">IFERROR(IF(B441="","",VLOOKUP(B441,Inventory!A:B,2,FALSE())),"")</f>
        <v/>
      </c>
      <c r="D441" s="16"/>
      <c r="E441" s="16"/>
      <c r="F441" s="15"/>
      <c r="G441" s="15"/>
      <c r="H441" s="17" t="str">
        <f aca="true">IF(AND(A441&lt;&gt;"",G441="",F441&lt;&gt;"",F441&lt;TODAY()),TODAY()-F441,"")</f>
        <v/>
      </c>
      <c r="I441" s="16"/>
    </row>
    <row r="442" customFormat="false" ht="15" hidden="false" customHeight="false" outlineLevel="0" collapsed="false">
      <c r="A442" s="15"/>
      <c r="B442" s="16"/>
      <c r="C442" s="13" t="str">
        <f aca="false">IFERROR(IF(B442="","",VLOOKUP(B442,Inventory!A:B,2,FALSE())),"")</f>
        <v/>
      </c>
      <c r="D442" s="16"/>
      <c r="E442" s="16"/>
      <c r="F442" s="15"/>
      <c r="G442" s="15"/>
      <c r="H442" s="17" t="str">
        <f aca="true">IF(AND(A442&lt;&gt;"",G442="",F442&lt;&gt;"",F442&lt;TODAY()),TODAY()-F442,"")</f>
        <v/>
      </c>
      <c r="I442" s="16"/>
    </row>
    <row r="443" customFormat="false" ht="15" hidden="false" customHeight="false" outlineLevel="0" collapsed="false">
      <c r="A443" s="15"/>
      <c r="B443" s="16"/>
      <c r="C443" s="13" t="str">
        <f aca="false">IFERROR(IF(B443="","",VLOOKUP(B443,Inventory!A:B,2,FALSE())),"")</f>
        <v/>
      </c>
      <c r="D443" s="16"/>
      <c r="E443" s="16"/>
      <c r="F443" s="15"/>
      <c r="G443" s="15"/>
      <c r="H443" s="17" t="str">
        <f aca="true">IF(AND(A443&lt;&gt;"",G443="",F443&lt;&gt;"",F443&lt;TODAY()),TODAY()-F443,"")</f>
        <v/>
      </c>
      <c r="I443" s="16"/>
    </row>
    <row r="444" customFormat="false" ht="15" hidden="false" customHeight="false" outlineLevel="0" collapsed="false">
      <c r="A444" s="15"/>
      <c r="B444" s="16"/>
      <c r="C444" s="13" t="str">
        <f aca="false">IFERROR(IF(B444="","",VLOOKUP(B444,Inventory!A:B,2,FALSE())),"")</f>
        <v/>
      </c>
      <c r="D444" s="16"/>
      <c r="E444" s="16"/>
      <c r="F444" s="15"/>
      <c r="G444" s="15"/>
      <c r="H444" s="17" t="str">
        <f aca="true">IF(AND(A444&lt;&gt;"",G444="",F444&lt;&gt;"",F444&lt;TODAY()),TODAY()-F444,"")</f>
        <v/>
      </c>
      <c r="I444" s="16"/>
    </row>
    <row r="445" customFormat="false" ht="15" hidden="false" customHeight="false" outlineLevel="0" collapsed="false">
      <c r="A445" s="15"/>
      <c r="B445" s="16"/>
      <c r="C445" s="13" t="str">
        <f aca="false">IFERROR(IF(B445="","",VLOOKUP(B445,Inventory!A:B,2,FALSE())),"")</f>
        <v/>
      </c>
      <c r="D445" s="16"/>
      <c r="E445" s="16"/>
      <c r="F445" s="15"/>
      <c r="G445" s="15"/>
      <c r="H445" s="17" t="str">
        <f aca="true">IF(AND(A445&lt;&gt;"",G445="",F445&lt;&gt;"",F445&lt;TODAY()),TODAY()-F445,"")</f>
        <v/>
      </c>
      <c r="I445" s="16"/>
    </row>
    <row r="446" customFormat="false" ht="15" hidden="false" customHeight="false" outlineLevel="0" collapsed="false">
      <c r="A446" s="15"/>
      <c r="B446" s="16"/>
      <c r="C446" s="13" t="str">
        <f aca="false">IFERROR(IF(B446="","",VLOOKUP(B446,Inventory!A:B,2,FALSE())),"")</f>
        <v/>
      </c>
      <c r="D446" s="16"/>
      <c r="E446" s="16"/>
      <c r="F446" s="15"/>
      <c r="G446" s="15"/>
      <c r="H446" s="17" t="str">
        <f aca="true">IF(AND(A446&lt;&gt;"",G446="",F446&lt;&gt;"",F446&lt;TODAY()),TODAY()-F446,"")</f>
        <v/>
      </c>
      <c r="I446" s="16"/>
    </row>
    <row r="447" customFormat="false" ht="15" hidden="false" customHeight="false" outlineLevel="0" collapsed="false">
      <c r="A447" s="15"/>
      <c r="B447" s="16"/>
      <c r="C447" s="13" t="str">
        <f aca="false">IFERROR(IF(B447="","",VLOOKUP(B447,Inventory!A:B,2,FALSE())),"")</f>
        <v/>
      </c>
      <c r="D447" s="16"/>
      <c r="E447" s="16"/>
      <c r="F447" s="15"/>
      <c r="G447" s="15"/>
      <c r="H447" s="17" t="str">
        <f aca="true">IF(AND(A447&lt;&gt;"",G447="",F447&lt;&gt;"",F447&lt;TODAY()),TODAY()-F447,"")</f>
        <v/>
      </c>
      <c r="I447" s="16"/>
    </row>
    <row r="448" customFormat="false" ht="15" hidden="false" customHeight="false" outlineLevel="0" collapsed="false">
      <c r="A448" s="15"/>
      <c r="B448" s="16"/>
      <c r="C448" s="13" t="str">
        <f aca="false">IFERROR(IF(B448="","",VLOOKUP(B448,Inventory!A:B,2,FALSE())),"")</f>
        <v/>
      </c>
      <c r="D448" s="16"/>
      <c r="E448" s="16"/>
      <c r="F448" s="15"/>
      <c r="G448" s="15"/>
      <c r="H448" s="17" t="str">
        <f aca="true">IF(AND(A448&lt;&gt;"",G448="",F448&lt;&gt;"",F448&lt;TODAY()),TODAY()-F448,"")</f>
        <v/>
      </c>
      <c r="I448" s="16"/>
    </row>
    <row r="449" customFormat="false" ht="15" hidden="false" customHeight="false" outlineLevel="0" collapsed="false">
      <c r="A449" s="15"/>
      <c r="B449" s="16"/>
      <c r="C449" s="13" t="str">
        <f aca="false">IFERROR(IF(B449="","",VLOOKUP(B449,Inventory!A:B,2,FALSE())),"")</f>
        <v/>
      </c>
      <c r="D449" s="16"/>
      <c r="E449" s="16"/>
      <c r="F449" s="15"/>
      <c r="G449" s="15"/>
      <c r="H449" s="17" t="str">
        <f aca="true">IF(AND(A449&lt;&gt;"",G449="",F449&lt;&gt;"",F449&lt;TODAY()),TODAY()-F449,"")</f>
        <v/>
      </c>
      <c r="I449" s="16"/>
    </row>
    <row r="450" customFormat="false" ht="15" hidden="false" customHeight="false" outlineLevel="0" collapsed="false">
      <c r="A450" s="15"/>
      <c r="B450" s="16"/>
      <c r="C450" s="13" t="str">
        <f aca="false">IFERROR(IF(B450="","",VLOOKUP(B450,Inventory!A:B,2,FALSE())),"")</f>
        <v/>
      </c>
      <c r="D450" s="16"/>
      <c r="E450" s="16"/>
      <c r="F450" s="15"/>
      <c r="G450" s="15"/>
      <c r="H450" s="17" t="str">
        <f aca="true">IF(AND(A450&lt;&gt;"",G450="",F450&lt;&gt;"",F450&lt;TODAY()),TODAY()-F450,"")</f>
        <v/>
      </c>
      <c r="I450" s="16"/>
    </row>
    <row r="451" customFormat="false" ht="15" hidden="false" customHeight="false" outlineLevel="0" collapsed="false">
      <c r="A451" s="15"/>
      <c r="B451" s="16"/>
      <c r="C451" s="13" t="str">
        <f aca="false">IFERROR(IF(B451="","",VLOOKUP(B451,Inventory!A:B,2,FALSE())),"")</f>
        <v/>
      </c>
      <c r="D451" s="16"/>
      <c r="E451" s="16"/>
      <c r="F451" s="15"/>
      <c r="G451" s="15"/>
      <c r="H451" s="17" t="str">
        <f aca="true">IF(AND(A451&lt;&gt;"",G451="",F451&lt;&gt;"",F451&lt;TODAY()),TODAY()-F451,"")</f>
        <v/>
      </c>
      <c r="I451" s="16"/>
    </row>
    <row r="452" customFormat="false" ht="15" hidden="false" customHeight="false" outlineLevel="0" collapsed="false">
      <c r="A452" s="15"/>
      <c r="B452" s="16"/>
      <c r="C452" s="13" t="str">
        <f aca="false">IFERROR(IF(B452="","",VLOOKUP(B452,Inventory!A:B,2,FALSE())),"")</f>
        <v/>
      </c>
      <c r="D452" s="16"/>
      <c r="E452" s="16"/>
      <c r="F452" s="15"/>
      <c r="G452" s="15"/>
      <c r="H452" s="17" t="str">
        <f aca="true">IF(AND(A452&lt;&gt;"",G452="",F452&lt;&gt;"",F452&lt;TODAY()),TODAY()-F452,"")</f>
        <v/>
      </c>
      <c r="I452" s="16"/>
    </row>
    <row r="453" customFormat="false" ht="15" hidden="false" customHeight="false" outlineLevel="0" collapsed="false">
      <c r="A453" s="15"/>
      <c r="B453" s="16"/>
      <c r="C453" s="13" t="str">
        <f aca="false">IFERROR(IF(B453="","",VLOOKUP(B453,Inventory!A:B,2,FALSE())),"")</f>
        <v/>
      </c>
      <c r="D453" s="16"/>
      <c r="E453" s="16"/>
      <c r="F453" s="15"/>
      <c r="G453" s="15"/>
      <c r="H453" s="17" t="str">
        <f aca="true">IF(AND(A453&lt;&gt;"",G453="",F453&lt;&gt;"",F453&lt;TODAY()),TODAY()-F453,"")</f>
        <v/>
      </c>
      <c r="I453" s="16"/>
    </row>
    <row r="454" customFormat="false" ht="15" hidden="false" customHeight="false" outlineLevel="0" collapsed="false">
      <c r="A454" s="15"/>
      <c r="B454" s="16"/>
      <c r="C454" s="13" t="str">
        <f aca="false">IFERROR(IF(B454="","",VLOOKUP(B454,Inventory!A:B,2,FALSE())),"")</f>
        <v/>
      </c>
      <c r="D454" s="16"/>
      <c r="E454" s="16"/>
      <c r="F454" s="15"/>
      <c r="G454" s="15"/>
      <c r="H454" s="17" t="str">
        <f aca="true">IF(AND(A454&lt;&gt;"",G454="",F454&lt;&gt;"",F454&lt;TODAY()),TODAY()-F454,"")</f>
        <v/>
      </c>
      <c r="I454" s="16"/>
    </row>
    <row r="455" customFormat="false" ht="15" hidden="false" customHeight="false" outlineLevel="0" collapsed="false">
      <c r="A455" s="15"/>
      <c r="B455" s="16"/>
      <c r="C455" s="13" t="str">
        <f aca="false">IFERROR(IF(B455="","",VLOOKUP(B455,Inventory!A:B,2,FALSE())),"")</f>
        <v/>
      </c>
      <c r="D455" s="16"/>
      <c r="E455" s="16"/>
      <c r="F455" s="15"/>
      <c r="G455" s="15"/>
      <c r="H455" s="17" t="str">
        <f aca="true">IF(AND(A455&lt;&gt;"",G455="",F455&lt;&gt;"",F455&lt;TODAY()),TODAY()-F455,"")</f>
        <v/>
      </c>
      <c r="I455" s="16"/>
    </row>
    <row r="456" customFormat="false" ht="15" hidden="false" customHeight="false" outlineLevel="0" collapsed="false">
      <c r="A456" s="15"/>
      <c r="B456" s="16"/>
      <c r="C456" s="13" t="str">
        <f aca="false">IFERROR(IF(B456="","",VLOOKUP(B456,Inventory!A:B,2,FALSE())),"")</f>
        <v/>
      </c>
      <c r="D456" s="16"/>
      <c r="E456" s="16"/>
      <c r="F456" s="15"/>
      <c r="G456" s="15"/>
      <c r="H456" s="17" t="str">
        <f aca="true">IF(AND(A456&lt;&gt;"",G456="",F456&lt;&gt;"",F456&lt;TODAY()),TODAY()-F456,"")</f>
        <v/>
      </c>
      <c r="I456" s="16"/>
    </row>
    <row r="457" customFormat="false" ht="15" hidden="false" customHeight="false" outlineLevel="0" collapsed="false">
      <c r="A457" s="15"/>
      <c r="B457" s="16"/>
      <c r="C457" s="13" t="str">
        <f aca="false">IFERROR(IF(B457="","",VLOOKUP(B457,Inventory!A:B,2,FALSE())),"")</f>
        <v/>
      </c>
      <c r="D457" s="16"/>
      <c r="E457" s="16"/>
      <c r="F457" s="15"/>
      <c r="G457" s="15"/>
      <c r="H457" s="17" t="str">
        <f aca="true">IF(AND(A457&lt;&gt;"",G457="",F457&lt;&gt;"",F457&lt;TODAY()),TODAY()-F457,"")</f>
        <v/>
      </c>
      <c r="I457" s="16"/>
    </row>
    <row r="458" customFormat="false" ht="15" hidden="false" customHeight="false" outlineLevel="0" collapsed="false">
      <c r="A458" s="15"/>
      <c r="B458" s="16"/>
      <c r="C458" s="13" t="str">
        <f aca="false">IFERROR(IF(B458="","",VLOOKUP(B458,Inventory!A:B,2,FALSE())),"")</f>
        <v/>
      </c>
      <c r="D458" s="16"/>
      <c r="E458" s="16"/>
      <c r="F458" s="15"/>
      <c r="G458" s="15"/>
      <c r="H458" s="17" t="str">
        <f aca="true">IF(AND(A458&lt;&gt;"",G458="",F458&lt;&gt;"",F458&lt;TODAY()),TODAY()-F458,"")</f>
        <v/>
      </c>
      <c r="I458" s="16"/>
    </row>
    <row r="459" customFormat="false" ht="15" hidden="false" customHeight="false" outlineLevel="0" collapsed="false">
      <c r="A459" s="15"/>
      <c r="B459" s="16"/>
      <c r="C459" s="13" t="str">
        <f aca="false">IFERROR(IF(B459="","",VLOOKUP(B459,Inventory!A:B,2,FALSE())),"")</f>
        <v/>
      </c>
      <c r="D459" s="16"/>
      <c r="E459" s="16"/>
      <c r="F459" s="15"/>
      <c r="G459" s="15"/>
      <c r="H459" s="17" t="str">
        <f aca="true">IF(AND(A459&lt;&gt;"",G459="",F459&lt;&gt;"",F459&lt;TODAY()),TODAY()-F459,"")</f>
        <v/>
      </c>
      <c r="I459" s="16"/>
    </row>
    <row r="460" customFormat="false" ht="15" hidden="false" customHeight="false" outlineLevel="0" collapsed="false">
      <c r="A460" s="15"/>
      <c r="B460" s="16"/>
      <c r="C460" s="13" t="str">
        <f aca="false">IFERROR(IF(B460="","",VLOOKUP(B460,Inventory!A:B,2,FALSE())),"")</f>
        <v/>
      </c>
      <c r="D460" s="16"/>
      <c r="E460" s="16"/>
      <c r="F460" s="15"/>
      <c r="G460" s="15"/>
      <c r="H460" s="17" t="str">
        <f aca="true">IF(AND(A460&lt;&gt;"",G460="",F460&lt;&gt;"",F460&lt;TODAY()),TODAY()-F460,"")</f>
        <v/>
      </c>
      <c r="I460" s="16"/>
    </row>
    <row r="461" customFormat="false" ht="15" hidden="false" customHeight="false" outlineLevel="0" collapsed="false">
      <c r="A461" s="15"/>
      <c r="B461" s="16"/>
      <c r="C461" s="13" t="str">
        <f aca="false">IFERROR(IF(B461="","",VLOOKUP(B461,Inventory!A:B,2,FALSE())),"")</f>
        <v/>
      </c>
      <c r="D461" s="16"/>
      <c r="E461" s="16"/>
      <c r="F461" s="15"/>
      <c r="G461" s="15"/>
      <c r="H461" s="17" t="str">
        <f aca="true">IF(AND(A461&lt;&gt;"",G461="",F461&lt;&gt;"",F461&lt;TODAY()),TODAY()-F461,"")</f>
        <v/>
      </c>
      <c r="I461" s="16"/>
    </row>
    <row r="462" customFormat="false" ht="15" hidden="false" customHeight="false" outlineLevel="0" collapsed="false">
      <c r="A462" s="15"/>
      <c r="B462" s="16"/>
      <c r="C462" s="13" t="str">
        <f aca="false">IFERROR(IF(B462="","",VLOOKUP(B462,Inventory!A:B,2,FALSE())),"")</f>
        <v/>
      </c>
      <c r="D462" s="16"/>
      <c r="E462" s="16"/>
      <c r="F462" s="15"/>
      <c r="G462" s="15"/>
      <c r="H462" s="17" t="str">
        <f aca="true">IF(AND(A462&lt;&gt;"",G462="",F462&lt;&gt;"",F462&lt;TODAY()),TODAY()-F462,"")</f>
        <v/>
      </c>
      <c r="I462" s="16"/>
    </row>
    <row r="463" customFormat="false" ht="15" hidden="false" customHeight="false" outlineLevel="0" collapsed="false">
      <c r="A463" s="15"/>
      <c r="B463" s="16"/>
      <c r="C463" s="13" t="str">
        <f aca="false">IFERROR(IF(B463="","",VLOOKUP(B463,Inventory!A:B,2,FALSE())),"")</f>
        <v/>
      </c>
      <c r="D463" s="16"/>
      <c r="E463" s="16"/>
      <c r="F463" s="15"/>
      <c r="G463" s="15"/>
      <c r="H463" s="17" t="str">
        <f aca="true">IF(AND(A463&lt;&gt;"",G463="",F463&lt;&gt;"",F463&lt;TODAY()),TODAY()-F463,"")</f>
        <v/>
      </c>
      <c r="I463" s="16"/>
    </row>
    <row r="464" customFormat="false" ht="15" hidden="false" customHeight="false" outlineLevel="0" collapsed="false">
      <c r="A464" s="15"/>
      <c r="B464" s="16"/>
      <c r="C464" s="13" t="str">
        <f aca="false">IFERROR(IF(B464="","",VLOOKUP(B464,Inventory!A:B,2,FALSE())),"")</f>
        <v/>
      </c>
      <c r="D464" s="16"/>
      <c r="E464" s="16"/>
      <c r="F464" s="15"/>
      <c r="G464" s="15"/>
      <c r="H464" s="17" t="str">
        <f aca="true">IF(AND(A464&lt;&gt;"",G464="",F464&lt;&gt;"",F464&lt;TODAY()),TODAY()-F464,"")</f>
        <v/>
      </c>
      <c r="I464" s="16"/>
    </row>
    <row r="465" customFormat="false" ht="15" hidden="false" customHeight="false" outlineLevel="0" collapsed="false">
      <c r="A465" s="15"/>
      <c r="B465" s="16"/>
      <c r="C465" s="13" t="str">
        <f aca="false">IFERROR(IF(B465="","",VLOOKUP(B465,Inventory!A:B,2,FALSE())),"")</f>
        <v/>
      </c>
      <c r="D465" s="16"/>
      <c r="E465" s="16"/>
      <c r="F465" s="15"/>
      <c r="G465" s="15"/>
      <c r="H465" s="17" t="str">
        <f aca="true">IF(AND(A465&lt;&gt;"",G465="",F465&lt;&gt;"",F465&lt;TODAY()),TODAY()-F465,"")</f>
        <v/>
      </c>
      <c r="I465" s="16"/>
    </row>
    <row r="466" customFormat="false" ht="15" hidden="false" customHeight="false" outlineLevel="0" collapsed="false">
      <c r="A466" s="15"/>
      <c r="B466" s="16"/>
      <c r="C466" s="13" t="str">
        <f aca="false">IFERROR(IF(B466="","",VLOOKUP(B466,Inventory!A:B,2,FALSE())),"")</f>
        <v/>
      </c>
      <c r="D466" s="16"/>
      <c r="E466" s="16"/>
      <c r="F466" s="15"/>
      <c r="G466" s="15"/>
      <c r="H466" s="17" t="str">
        <f aca="true">IF(AND(A466&lt;&gt;"",G466="",F466&lt;&gt;"",F466&lt;TODAY()),TODAY()-F466,"")</f>
        <v/>
      </c>
      <c r="I466" s="16"/>
    </row>
    <row r="467" customFormat="false" ht="15" hidden="false" customHeight="false" outlineLevel="0" collapsed="false">
      <c r="A467" s="15"/>
      <c r="B467" s="16"/>
      <c r="C467" s="13" t="str">
        <f aca="false">IFERROR(IF(B467="","",VLOOKUP(B467,Inventory!A:B,2,FALSE())),"")</f>
        <v/>
      </c>
      <c r="D467" s="16"/>
      <c r="E467" s="16"/>
      <c r="F467" s="15"/>
      <c r="G467" s="15"/>
      <c r="H467" s="17" t="str">
        <f aca="true">IF(AND(A467&lt;&gt;"",G467="",F467&lt;&gt;"",F467&lt;TODAY()),TODAY()-F467,"")</f>
        <v/>
      </c>
      <c r="I467" s="16"/>
    </row>
    <row r="468" customFormat="false" ht="15" hidden="false" customHeight="false" outlineLevel="0" collapsed="false">
      <c r="A468" s="15"/>
      <c r="B468" s="16"/>
      <c r="C468" s="13" t="str">
        <f aca="false">IFERROR(IF(B468="","",VLOOKUP(B468,Inventory!A:B,2,FALSE())),"")</f>
        <v/>
      </c>
      <c r="D468" s="16"/>
      <c r="E468" s="16"/>
      <c r="F468" s="15"/>
      <c r="G468" s="15"/>
      <c r="H468" s="17" t="str">
        <f aca="true">IF(AND(A468&lt;&gt;"",G468="",F468&lt;&gt;"",F468&lt;TODAY()),TODAY()-F468,"")</f>
        <v/>
      </c>
      <c r="I468" s="16"/>
    </row>
    <row r="469" customFormat="false" ht="15" hidden="false" customHeight="false" outlineLevel="0" collapsed="false">
      <c r="A469" s="15"/>
      <c r="B469" s="16"/>
      <c r="C469" s="13" t="str">
        <f aca="false">IFERROR(IF(B469="","",VLOOKUP(B469,Inventory!A:B,2,FALSE())),"")</f>
        <v/>
      </c>
      <c r="D469" s="16"/>
      <c r="E469" s="16"/>
      <c r="F469" s="15"/>
      <c r="G469" s="15"/>
      <c r="H469" s="17" t="str">
        <f aca="true">IF(AND(A469&lt;&gt;"",G469="",F469&lt;&gt;"",F469&lt;TODAY()),TODAY()-F469,"")</f>
        <v/>
      </c>
      <c r="I469" s="16"/>
    </row>
    <row r="470" customFormat="false" ht="15" hidden="false" customHeight="false" outlineLevel="0" collapsed="false">
      <c r="A470" s="15"/>
      <c r="B470" s="16"/>
      <c r="C470" s="13" t="str">
        <f aca="false">IFERROR(IF(B470="","",VLOOKUP(B470,Inventory!A:B,2,FALSE())),"")</f>
        <v/>
      </c>
      <c r="D470" s="16"/>
      <c r="E470" s="16"/>
      <c r="F470" s="15"/>
      <c r="G470" s="15"/>
      <c r="H470" s="17" t="str">
        <f aca="true">IF(AND(A470&lt;&gt;"",G470="",F470&lt;&gt;"",F470&lt;TODAY()),TODAY()-F470,"")</f>
        <v/>
      </c>
      <c r="I470" s="16"/>
    </row>
    <row r="471" customFormat="false" ht="15" hidden="false" customHeight="false" outlineLevel="0" collapsed="false">
      <c r="A471" s="15"/>
      <c r="B471" s="16"/>
      <c r="C471" s="13" t="str">
        <f aca="false">IFERROR(IF(B471="","",VLOOKUP(B471,Inventory!A:B,2,FALSE())),"")</f>
        <v/>
      </c>
      <c r="D471" s="16"/>
      <c r="E471" s="16"/>
      <c r="F471" s="15"/>
      <c r="G471" s="15"/>
      <c r="H471" s="17" t="str">
        <f aca="true">IF(AND(A471&lt;&gt;"",G471="",F471&lt;&gt;"",F471&lt;TODAY()),TODAY()-F471,"")</f>
        <v/>
      </c>
      <c r="I471" s="16"/>
    </row>
    <row r="472" customFormat="false" ht="15" hidden="false" customHeight="false" outlineLevel="0" collapsed="false">
      <c r="A472" s="15"/>
      <c r="B472" s="16"/>
      <c r="C472" s="13" t="str">
        <f aca="false">IFERROR(IF(B472="","",VLOOKUP(B472,Inventory!A:B,2,FALSE())),"")</f>
        <v/>
      </c>
      <c r="D472" s="16"/>
      <c r="E472" s="16"/>
      <c r="F472" s="15"/>
      <c r="G472" s="15"/>
      <c r="H472" s="17" t="str">
        <f aca="true">IF(AND(A472&lt;&gt;"",G472="",F472&lt;&gt;"",F472&lt;TODAY()),TODAY()-F472,"")</f>
        <v/>
      </c>
      <c r="I472" s="16"/>
    </row>
    <row r="473" customFormat="false" ht="15" hidden="false" customHeight="false" outlineLevel="0" collapsed="false">
      <c r="A473" s="15"/>
      <c r="B473" s="16"/>
      <c r="C473" s="13" t="str">
        <f aca="false">IFERROR(IF(B473="","",VLOOKUP(B473,Inventory!A:B,2,FALSE())),"")</f>
        <v/>
      </c>
      <c r="D473" s="16"/>
      <c r="E473" s="16"/>
      <c r="F473" s="15"/>
      <c r="G473" s="15"/>
      <c r="H473" s="17" t="str">
        <f aca="true">IF(AND(A473&lt;&gt;"",G473="",F473&lt;&gt;"",F473&lt;TODAY()),TODAY()-F473,"")</f>
        <v/>
      </c>
      <c r="I473" s="16"/>
    </row>
    <row r="474" customFormat="false" ht="15" hidden="false" customHeight="false" outlineLevel="0" collapsed="false">
      <c r="A474" s="15"/>
      <c r="B474" s="16"/>
      <c r="C474" s="13" t="str">
        <f aca="false">IFERROR(IF(B474="","",VLOOKUP(B474,Inventory!A:B,2,FALSE())),"")</f>
        <v/>
      </c>
      <c r="D474" s="16"/>
      <c r="E474" s="16"/>
      <c r="F474" s="15"/>
      <c r="G474" s="15"/>
      <c r="H474" s="17" t="str">
        <f aca="true">IF(AND(A474&lt;&gt;"",G474="",F474&lt;&gt;"",F474&lt;TODAY()),TODAY()-F474,"")</f>
        <v/>
      </c>
      <c r="I474" s="16"/>
    </row>
    <row r="475" customFormat="false" ht="15" hidden="false" customHeight="false" outlineLevel="0" collapsed="false">
      <c r="A475" s="15"/>
      <c r="B475" s="16"/>
      <c r="C475" s="13" t="str">
        <f aca="false">IFERROR(IF(B475="","",VLOOKUP(B475,Inventory!A:B,2,FALSE())),"")</f>
        <v/>
      </c>
      <c r="D475" s="16"/>
      <c r="E475" s="16"/>
      <c r="F475" s="15"/>
      <c r="G475" s="15"/>
      <c r="H475" s="17" t="str">
        <f aca="true">IF(AND(A475&lt;&gt;"",G475="",F475&lt;&gt;"",F475&lt;TODAY()),TODAY()-F475,"")</f>
        <v/>
      </c>
      <c r="I475" s="16"/>
    </row>
    <row r="476" customFormat="false" ht="15" hidden="false" customHeight="false" outlineLevel="0" collapsed="false">
      <c r="A476" s="15"/>
      <c r="B476" s="16"/>
      <c r="C476" s="13" t="str">
        <f aca="false">IFERROR(IF(B476="","",VLOOKUP(B476,Inventory!A:B,2,FALSE())),"")</f>
        <v/>
      </c>
      <c r="D476" s="16"/>
      <c r="E476" s="16"/>
      <c r="F476" s="15"/>
      <c r="G476" s="15"/>
      <c r="H476" s="17" t="str">
        <f aca="true">IF(AND(A476&lt;&gt;"",G476="",F476&lt;&gt;"",F476&lt;TODAY()),TODAY()-F476,"")</f>
        <v/>
      </c>
      <c r="I476" s="16"/>
    </row>
    <row r="477" customFormat="false" ht="15" hidden="false" customHeight="false" outlineLevel="0" collapsed="false">
      <c r="A477" s="15"/>
      <c r="B477" s="16"/>
      <c r="C477" s="13" t="str">
        <f aca="false">IFERROR(IF(B477="","",VLOOKUP(B477,Inventory!A:B,2,FALSE())),"")</f>
        <v/>
      </c>
      <c r="D477" s="16"/>
      <c r="E477" s="16"/>
      <c r="F477" s="15"/>
      <c r="G477" s="15"/>
      <c r="H477" s="17" t="str">
        <f aca="true">IF(AND(A477&lt;&gt;"",G477="",F477&lt;&gt;"",F477&lt;TODAY()),TODAY()-F477,"")</f>
        <v/>
      </c>
      <c r="I477" s="16"/>
    </row>
    <row r="478" customFormat="false" ht="15" hidden="false" customHeight="false" outlineLevel="0" collapsed="false">
      <c r="A478" s="15"/>
      <c r="B478" s="16"/>
      <c r="C478" s="13" t="str">
        <f aca="false">IFERROR(IF(B478="","",VLOOKUP(B478,Inventory!A:B,2,FALSE())),"")</f>
        <v/>
      </c>
      <c r="D478" s="16"/>
      <c r="E478" s="16"/>
      <c r="F478" s="15"/>
      <c r="G478" s="15"/>
      <c r="H478" s="17" t="str">
        <f aca="true">IF(AND(A478&lt;&gt;"",G478="",F478&lt;&gt;"",F478&lt;TODAY()),TODAY()-F478,"")</f>
        <v/>
      </c>
      <c r="I478" s="16"/>
    </row>
    <row r="479" customFormat="false" ht="15" hidden="false" customHeight="false" outlineLevel="0" collapsed="false">
      <c r="A479" s="15"/>
      <c r="B479" s="16"/>
      <c r="C479" s="13" t="str">
        <f aca="false">IFERROR(IF(B479="","",VLOOKUP(B479,Inventory!A:B,2,FALSE())),"")</f>
        <v/>
      </c>
      <c r="D479" s="16"/>
      <c r="E479" s="16"/>
      <c r="F479" s="15"/>
      <c r="G479" s="15"/>
      <c r="H479" s="17" t="str">
        <f aca="true">IF(AND(A479&lt;&gt;"",G479="",F479&lt;&gt;"",F479&lt;TODAY()),TODAY()-F479,"")</f>
        <v/>
      </c>
      <c r="I479" s="16"/>
    </row>
    <row r="480" customFormat="false" ht="15" hidden="false" customHeight="false" outlineLevel="0" collapsed="false">
      <c r="A480" s="15"/>
      <c r="B480" s="16"/>
      <c r="C480" s="13" t="str">
        <f aca="false">IFERROR(IF(B480="","",VLOOKUP(B480,Inventory!A:B,2,FALSE())),"")</f>
        <v/>
      </c>
      <c r="D480" s="16"/>
      <c r="E480" s="16"/>
      <c r="F480" s="15"/>
      <c r="G480" s="15"/>
      <c r="H480" s="17" t="str">
        <f aca="true">IF(AND(A480&lt;&gt;"",G480="",F480&lt;&gt;"",F480&lt;TODAY()),TODAY()-F480,"")</f>
        <v/>
      </c>
      <c r="I480" s="16"/>
    </row>
    <row r="481" customFormat="false" ht="15" hidden="false" customHeight="false" outlineLevel="0" collapsed="false">
      <c r="A481" s="15"/>
      <c r="B481" s="16"/>
      <c r="C481" s="13" t="str">
        <f aca="false">IFERROR(IF(B481="","",VLOOKUP(B481,Inventory!A:B,2,FALSE())),"")</f>
        <v/>
      </c>
      <c r="D481" s="16"/>
      <c r="E481" s="16"/>
      <c r="F481" s="15"/>
      <c r="G481" s="15"/>
      <c r="H481" s="17" t="str">
        <f aca="true">IF(AND(A481&lt;&gt;"",G481="",F481&lt;&gt;"",F481&lt;TODAY()),TODAY()-F481,"")</f>
        <v/>
      </c>
      <c r="I481" s="16"/>
    </row>
    <row r="482" customFormat="false" ht="15" hidden="false" customHeight="false" outlineLevel="0" collapsed="false">
      <c r="A482" s="15"/>
      <c r="B482" s="16"/>
      <c r="C482" s="13" t="str">
        <f aca="false">IFERROR(IF(B482="","",VLOOKUP(B482,Inventory!A:B,2,FALSE())),"")</f>
        <v/>
      </c>
      <c r="D482" s="16"/>
      <c r="E482" s="16"/>
      <c r="F482" s="15"/>
      <c r="G482" s="15"/>
      <c r="H482" s="17" t="str">
        <f aca="true">IF(AND(A482&lt;&gt;"",G482="",F482&lt;&gt;"",F482&lt;TODAY()),TODAY()-F482,"")</f>
        <v/>
      </c>
      <c r="I482" s="16"/>
    </row>
    <row r="483" customFormat="false" ht="15" hidden="false" customHeight="false" outlineLevel="0" collapsed="false">
      <c r="A483" s="15"/>
      <c r="B483" s="16"/>
      <c r="C483" s="13" t="str">
        <f aca="false">IFERROR(IF(B483="","",VLOOKUP(B483,Inventory!A:B,2,FALSE())),"")</f>
        <v/>
      </c>
      <c r="D483" s="16"/>
      <c r="E483" s="16"/>
      <c r="F483" s="15"/>
      <c r="G483" s="15"/>
      <c r="H483" s="17" t="str">
        <f aca="true">IF(AND(A483&lt;&gt;"",G483="",F483&lt;&gt;"",F483&lt;TODAY()),TODAY()-F483,"")</f>
        <v/>
      </c>
      <c r="I483" s="16"/>
    </row>
    <row r="484" customFormat="false" ht="15" hidden="false" customHeight="false" outlineLevel="0" collapsed="false">
      <c r="A484" s="15"/>
      <c r="B484" s="16"/>
      <c r="C484" s="13" t="str">
        <f aca="false">IFERROR(IF(B484="","",VLOOKUP(B484,Inventory!A:B,2,FALSE())),"")</f>
        <v/>
      </c>
      <c r="D484" s="16"/>
      <c r="E484" s="16"/>
      <c r="F484" s="15"/>
      <c r="G484" s="15"/>
      <c r="H484" s="17" t="str">
        <f aca="true">IF(AND(A484&lt;&gt;"",G484="",F484&lt;&gt;"",F484&lt;TODAY()),TODAY()-F484,"")</f>
        <v/>
      </c>
      <c r="I484" s="16"/>
    </row>
    <row r="485" customFormat="false" ht="15" hidden="false" customHeight="false" outlineLevel="0" collapsed="false">
      <c r="A485" s="15"/>
      <c r="B485" s="16"/>
      <c r="C485" s="13" t="str">
        <f aca="false">IFERROR(IF(B485="","",VLOOKUP(B485,Inventory!A:B,2,FALSE())),"")</f>
        <v/>
      </c>
      <c r="D485" s="16"/>
      <c r="E485" s="16"/>
      <c r="F485" s="15"/>
      <c r="G485" s="15"/>
      <c r="H485" s="17" t="str">
        <f aca="true">IF(AND(A485&lt;&gt;"",G485="",F485&lt;&gt;"",F485&lt;TODAY()),TODAY()-F485,"")</f>
        <v/>
      </c>
      <c r="I485" s="16"/>
    </row>
    <row r="486" customFormat="false" ht="15" hidden="false" customHeight="false" outlineLevel="0" collapsed="false">
      <c r="A486" s="15"/>
      <c r="B486" s="16"/>
      <c r="C486" s="13" t="str">
        <f aca="false">IFERROR(IF(B486="","",VLOOKUP(B486,Inventory!A:B,2,FALSE())),"")</f>
        <v/>
      </c>
      <c r="D486" s="16"/>
      <c r="E486" s="16"/>
      <c r="F486" s="15"/>
      <c r="G486" s="15"/>
      <c r="H486" s="17" t="str">
        <f aca="true">IF(AND(A486&lt;&gt;"",G486="",F486&lt;&gt;"",F486&lt;TODAY()),TODAY()-F486,"")</f>
        <v/>
      </c>
      <c r="I486" s="16"/>
    </row>
    <row r="487" customFormat="false" ht="15" hidden="false" customHeight="false" outlineLevel="0" collapsed="false">
      <c r="A487" s="15"/>
      <c r="B487" s="16"/>
      <c r="C487" s="13" t="str">
        <f aca="false">IFERROR(IF(B487="","",VLOOKUP(B487,Inventory!A:B,2,FALSE())),"")</f>
        <v/>
      </c>
      <c r="D487" s="16"/>
      <c r="E487" s="16"/>
      <c r="F487" s="15"/>
      <c r="G487" s="15"/>
      <c r="H487" s="17" t="str">
        <f aca="true">IF(AND(A487&lt;&gt;"",G487="",F487&lt;&gt;"",F487&lt;TODAY()),TODAY()-F487,"")</f>
        <v/>
      </c>
      <c r="I487" s="16"/>
    </row>
    <row r="488" customFormat="false" ht="15" hidden="false" customHeight="false" outlineLevel="0" collapsed="false">
      <c r="A488" s="15"/>
      <c r="B488" s="16"/>
      <c r="C488" s="13" t="str">
        <f aca="false">IFERROR(IF(B488="","",VLOOKUP(B488,Inventory!A:B,2,FALSE())),"")</f>
        <v/>
      </c>
      <c r="D488" s="16"/>
      <c r="E488" s="16"/>
      <c r="F488" s="15"/>
      <c r="G488" s="15"/>
      <c r="H488" s="17" t="str">
        <f aca="true">IF(AND(A488&lt;&gt;"",G488="",F488&lt;&gt;"",F488&lt;TODAY()),TODAY()-F488,"")</f>
        <v/>
      </c>
      <c r="I488" s="16"/>
    </row>
    <row r="489" customFormat="false" ht="15" hidden="false" customHeight="false" outlineLevel="0" collapsed="false">
      <c r="A489" s="15"/>
      <c r="B489" s="16"/>
      <c r="C489" s="13" t="str">
        <f aca="false">IFERROR(IF(B489="","",VLOOKUP(B489,Inventory!A:B,2,FALSE())),"")</f>
        <v/>
      </c>
      <c r="D489" s="16"/>
      <c r="E489" s="16"/>
      <c r="F489" s="15"/>
      <c r="G489" s="15"/>
      <c r="H489" s="17" t="str">
        <f aca="true">IF(AND(A489&lt;&gt;"",G489="",F489&lt;&gt;"",F489&lt;TODAY()),TODAY()-F489,"")</f>
        <v/>
      </c>
      <c r="I489" s="16"/>
    </row>
    <row r="490" customFormat="false" ht="15" hidden="false" customHeight="false" outlineLevel="0" collapsed="false">
      <c r="A490" s="15"/>
      <c r="B490" s="16"/>
      <c r="C490" s="13" t="str">
        <f aca="false">IFERROR(IF(B490="","",VLOOKUP(B490,Inventory!A:B,2,FALSE())),"")</f>
        <v/>
      </c>
      <c r="D490" s="16"/>
      <c r="E490" s="16"/>
      <c r="F490" s="15"/>
      <c r="G490" s="15"/>
      <c r="H490" s="17" t="str">
        <f aca="true">IF(AND(A490&lt;&gt;"",G490="",F490&lt;&gt;"",F490&lt;TODAY()),TODAY()-F490,"")</f>
        <v/>
      </c>
      <c r="I490" s="16"/>
    </row>
    <row r="491" customFormat="false" ht="15" hidden="false" customHeight="false" outlineLevel="0" collapsed="false">
      <c r="A491" s="15"/>
      <c r="B491" s="16"/>
      <c r="C491" s="13" t="str">
        <f aca="false">IFERROR(IF(B491="","",VLOOKUP(B491,Inventory!A:B,2,FALSE())),"")</f>
        <v/>
      </c>
      <c r="D491" s="16"/>
      <c r="E491" s="16"/>
      <c r="F491" s="15"/>
      <c r="G491" s="15"/>
      <c r="H491" s="17" t="str">
        <f aca="true">IF(AND(A491&lt;&gt;"",G491="",F491&lt;&gt;"",F491&lt;TODAY()),TODAY()-F491,"")</f>
        <v/>
      </c>
      <c r="I491" s="16"/>
    </row>
    <row r="492" customFormat="false" ht="15" hidden="false" customHeight="false" outlineLevel="0" collapsed="false">
      <c r="A492" s="15"/>
      <c r="B492" s="16"/>
      <c r="C492" s="13" t="str">
        <f aca="false">IFERROR(IF(B492="","",VLOOKUP(B492,Inventory!A:B,2,FALSE())),"")</f>
        <v/>
      </c>
      <c r="D492" s="16"/>
      <c r="E492" s="16"/>
      <c r="F492" s="15"/>
      <c r="G492" s="15"/>
      <c r="H492" s="17" t="str">
        <f aca="true">IF(AND(A492&lt;&gt;"",G492="",F492&lt;&gt;"",F492&lt;TODAY()),TODAY()-F492,"")</f>
        <v/>
      </c>
      <c r="I492" s="16"/>
    </row>
    <row r="493" customFormat="false" ht="15" hidden="false" customHeight="false" outlineLevel="0" collapsed="false">
      <c r="A493" s="15"/>
      <c r="B493" s="16"/>
      <c r="C493" s="13" t="str">
        <f aca="false">IFERROR(IF(B493="","",VLOOKUP(B493,Inventory!A:B,2,FALSE())),"")</f>
        <v/>
      </c>
      <c r="D493" s="16"/>
      <c r="E493" s="16"/>
      <c r="F493" s="15"/>
      <c r="G493" s="15"/>
      <c r="H493" s="17" t="str">
        <f aca="true">IF(AND(A493&lt;&gt;"",G493="",F493&lt;&gt;"",F493&lt;TODAY()),TODAY()-F493,"")</f>
        <v/>
      </c>
      <c r="I493" s="16"/>
    </row>
    <row r="494" customFormat="false" ht="15" hidden="false" customHeight="false" outlineLevel="0" collapsed="false">
      <c r="A494" s="15"/>
      <c r="B494" s="16"/>
      <c r="C494" s="13" t="str">
        <f aca="false">IFERROR(IF(B494="","",VLOOKUP(B494,Inventory!A:B,2,FALSE())),"")</f>
        <v/>
      </c>
      <c r="D494" s="16"/>
      <c r="E494" s="16"/>
      <c r="F494" s="15"/>
      <c r="G494" s="15"/>
      <c r="H494" s="17" t="str">
        <f aca="true">IF(AND(A494&lt;&gt;"",G494="",F494&lt;&gt;"",F494&lt;TODAY()),TODAY()-F494,"")</f>
        <v/>
      </c>
      <c r="I494" s="16"/>
    </row>
    <row r="495" customFormat="false" ht="15" hidden="false" customHeight="false" outlineLevel="0" collapsed="false">
      <c r="A495" s="15"/>
      <c r="B495" s="16"/>
      <c r="C495" s="13" t="str">
        <f aca="false">IFERROR(IF(B495="","",VLOOKUP(B495,Inventory!A:B,2,FALSE())),"")</f>
        <v/>
      </c>
      <c r="D495" s="16"/>
      <c r="E495" s="16"/>
      <c r="F495" s="15"/>
      <c r="G495" s="15"/>
      <c r="H495" s="17" t="str">
        <f aca="true">IF(AND(A495&lt;&gt;"",G495="",F495&lt;&gt;"",F495&lt;TODAY()),TODAY()-F495,"")</f>
        <v/>
      </c>
      <c r="I495" s="16"/>
    </row>
    <row r="496" customFormat="false" ht="15" hidden="false" customHeight="false" outlineLevel="0" collapsed="false">
      <c r="A496" s="15"/>
      <c r="B496" s="16"/>
      <c r="C496" s="13" t="str">
        <f aca="false">IFERROR(IF(B496="","",VLOOKUP(B496,Inventory!A:B,2,FALSE())),"")</f>
        <v/>
      </c>
      <c r="D496" s="16"/>
      <c r="E496" s="16"/>
      <c r="F496" s="15"/>
      <c r="G496" s="15"/>
      <c r="H496" s="17" t="str">
        <f aca="true">IF(AND(A496&lt;&gt;"",G496="",F496&lt;&gt;"",F496&lt;TODAY()),TODAY()-F496,"")</f>
        <v/>
      </c>
      <c r="I496" s="16"/>
    </row>
    <row r="497" customFormat="false" ht="15" hidden="false" customHeight="false" outlineLevel="0" collapsed="false">
      <c r="A497" s="15"/>
      <c r="B497" s="16"/>
      <c r="C497" s="13" t="str">
        <f aca="false">IFERROR(IF(B497="","",VLOOKUP(B497,Inventory!A:B,2,FALSE())),"")</f>
        <v/>
      </c>
      <c r="D497" s="16"/>
      <c r="E497" s="16"/>
      <c r="F497" s="15"/>
      <c r="G497" s="15"/>
      <c r="H497" s="17" t="str">
        <f aca="true">IF(AND(A497&lt;&gt;"",G497="",F497&lt;&gt;"",F497&lt;TODAY()),TODAY()-F497,"")</f>
        <v/>
      </c>
      <c r="I497" s="16"/>
    </row>
    <row r="498" customFormat="false" ht="15" hidden="false" customHeight="false" outlineLevel="0" collapsed="false">
      <c r="A498" s="15"/>
      <c r="B498" s="16"/>
      <c r="C498" s="13" t="str">
        <f aca="false">IFERROR(IF(B498="","",VLOOKUP(B498,Inventory!A:B,2,FALSE())),"")</f>
        <v/>
      </c>
      <c r="D498" s="16"/>
      <c r="E498" s="16"/>
      <c r="F498" s="15"/>
      <c r="G498" s="15"/>
      <c r="H498" s="17" t="str">
        <f aca="true">IF(AND(A498&lt;&gt;"",G498="",F498&lt;&gt;"",F498&lt;TODAY()),TODAY()-F498,"")</f>
        <v/>
      </c>
      <c r="I498" s="16"/>
    </row>
    <row r="499" customFormat="false" ht="15" hidden="false" customHeight="false" outlineLevel="0" collapsed="false">
      <c r="A499" s="15"/>
      <c r="B499" s="16"/>
      <c r="C499" s="13" t="str">
        <f aca="false">IFERROR(IF(B499="","",VLOOKUP(B499,Inventory!A:B,2,FALSE())),"")</f>
        <v/>
      </c>
      <c r="D499" s="16"/>
      <c r="E499" s="16"/>
      <c r="F499" s="15"/>
      <c r="G499" s="15"/>
      <c r="H499" s="17" t="str">
        <f aca="true">IF(AND(A499&lt;&gt;"",G499="",F499&lt;&gt;"",F499&lt;TODAY()),TODAY()-F499,"")</f>
        <v/>
      </c>
      <c r="I499" s="16"/>
    </row>
    <row r="500" customFormat="false" ht="15" hidden="false" customHeight="false" outlineLevel="0" collapsed="false">
      <c r="A500" s="15"/>
      <c r="B500" s="16"/>
      <c r="C500" s="13" t="str">
        <f aca="false">IFERROR(IF(B500="","",VLOOKUP(B500,Inventory!A:B,2,FALSE())),"")</f>
        <v/>
      </c>
      <c r="D500" s="16"/>
      <c r="E500" s="16"/>
      <c r="F500" s="15"/>
      <c r="G500" s="15"/>
      <c r="H500" s="17" t="str">
        <f aca="true">IF(AND(A500&lt;&gt;"",G500="",F500&lt;&gt;"",F500&lt;TODAY()),TODAY()-F500,"")</f>
        <v/>
      </c>
      <c r="I500" s="16"/>
    </row>
    <row r="501" customFormat="false" ht="15" hidden="false" customHeight="false" outlineLevel="0" collapsed="false">
      <c r="A501" s="15"/>
      <c r="B501" s="16"/>
      <c r="C501" s="13" t="str">
        <f aca="false">IFERROR(IF(B501="","",VLOOKUP(B501,Inventory!A:B,2,FALSE())),"")</f>
        <v/>
      </c>
      <c r="D501" s="16"/>
      <c r="E501" s="16"/>
      <c r="F501" s="15"/>
      <c r="G501" s="15"/>
      <c r="H501" s="17" t="str">
        <f aca="true">IF(AND(A501&lt;&gt;"",G501="",F501&lt;&gt;"",F501&lt;TODAY()),TODAY()-F501,"")</f>
        <v/>
      </c>
      <c r="I501" s="16"/>
    </row>
    <row r="502" customFormat="false" ht="15" hidden="false" customHeight="false" outlineLevel="0" collapsed="false">
      <c r="A502" s="15"/>
      <c r="B502" s="16"/>
      <c r="C502" s="13" t="str">
        <f aca="false">IFERROR(IF(B502="","",VLOOKUP(B502,Inventory!A:B,2,FALSE())),"")</f>
        <v/>
      </c>
      <c r="D502" s="16"/>
      <c r="E502" s="16"/>
      <c r="F502" s="15"/>
      <c r="G502" s="15"/>
      <c r="H502" s="17" t="str">
        <f aca="true">IF(AND(A502&lt;&gt;"",G502="",F502&lt;&gt;"",F502&lt;TODAY()),TODAY()-F502,"")</f>
        <v/>
      </c>
      <c r="I502" s="16"/>
    </row>
    <row r="503" customFormat="false" ht="15" hidden="false" customHeight="false" outlineLevel="0" collapsed="false">
      <c r="A503" s="15"/>
      <c r="B503" s="16"/>
      <c r="C503" s="13" t="str">
        <f aca="false">IFERROR(IF(B503="","",VLOOKUP(B503,Inventory!A:B,2,FALSE())),"")</f>
        <v/>
      </c>
      <c r="D503" s="16"/>
      <c r="E503" s="16"/>
      <c r="F503" s="15"/>
      <c r="G503" s="15"/>
      <c r="H503" s="17" t="str">
        <f aca="true">IF(AND(A503&lt;&gt;"",G503="",F503&lt;&gt;"",F503&lt;TODAY()),TODAY()-F503,"")</f>
        <v/>
      </c>
      <c r="I503" s="16"/>
    </row>
    <row r="504" customFormat="false" ht="15" hidden="false" customHeight="false" outlineLevel="0" collapsed="false">
      <c r="A504" s="15"/>
      <c r="B504" s="16"/>
      <c r="C504" s="13" t="str">
        <f aca="false">IFERROR(IF(B504="","",VLOOKUP(B504,Inventory!A:B,2,FALSE())),"")</f>
        <v/>
      </c>
      <c r="D504" s="16"/>
      <c r="E504" s="16"/>
      <c r="F504" s="15"/>
      <c r="G504" s="15"/>
      <c r="H504" s="17" t="str">
        <f aca="true">IF(AND(A504&lt;&gt;"",G504="",F504&lt;&gt;"",F504&lt;TODAY()),TODAY()-F504,"")</f>
        <v/>
      </c>
      <c r="I504" s="16"/>
    </row>
    <row r="505" customFormat="false" ht="15" hidden="false" customHeight="false" outlineLevel="0" collapsed="false">
      <c r="A505" s="15"/>
      <c r="B505" s="16"/>
      <c r="C505" s="13" t="str">
        <f aca="false">IFERROR(IF(B505="","",VLOOKUP(B505,Inventory!A:B,2,FALSE())),"")</f>
        <v/>
      </c>
      <c r="D505" s="16"/>
      <c r="E505" s="16"/>
      <c r="F505" s="15"/>
      <c r="G505" s="15"/>
      <c r="H505" s="17" t="str">
        <f aca="true">IF(AND(A505&lt;&gt;"",G505="",F505&lt;&gt;"",F505&lt;TODAY()),TODAY()-F505,"")</f>
        <v/>
      </c>
      <c r="I505" s="16"/>
    </row>
    <row r="506" customFormat="false" ht="15" hidden="false" customHeight="false" outlineLevel="0" collapsed="false">
      <c r="A506" s="15"/>
      <c r="B506" s="16"/>
      <c r="C506" s="13" t="str">
        <f aca="false">IFERROR(IF(B506="","",VLOOKUP(B506,Inventory!A:B,2,FALSE())),"")</f>
        <v/>
      </c>
      <c r="D506" s="16"/>
      <c r="E506" s="16"/>
      <c r="F506" s="15"/>
      <c r="G506" s="15"/>
      <c r="H506" s="17" t="str">
        <f aca="true">IF(AND(A506&lt;&gt;"",G506="",F506&lt;&gt;"",F506&lt;TODAY()),TODAY()-F506,"")</f>
        <v/>
      </c>
      <c r="I506" s="16"/>
    </row>
    <row r="507" customFormat="false" ht="15" hidden="false" customHeight="false" outlineLevel="0" collapsed="false">
      <c r="A507" s="15"/>
      <c r="B507" s="16"/>
      <c r="C507" s="13" t="str">
        <f aca="false">IFERROR(IF(B507="","",VLOOKUP(B507,Inventory!A:B,2,FALSE())),"")</f>
        <v/>
      </c>
      <c r="D507" s="16"/>
      <c r="E507" s="16"/>
      <c r="F507" s="15"/>
      <c r="G507" s="15"/>
      <c r="H507" s="17" t="str">
        <f aca="true">IF(AND(A507&lt;&gt;"",G507="",F507&lt;&gt;"",F507&lt;TODAY()),TODAY()-F507,"")</f>
        <v/>
      </c>
      <c r="I507" s="16"/>
    </row>
    <row r="508" customFormat="false" ht="15" hidden="false" customHeight="false" outlineLevel="0" collapsed="false">
      <c r="A508" s="15"/>
      <c r="B508" s="16"/>
      <c r="C508" s="13" t="str">
        <f aca="false">IFERROR(IF(B508="","",VLOOKUP(B508,Inventory!A:B,2,FALSE())),"")</f>
        <v/>
      </c>
      <c r="D508" s="16"/>
      <c r="E508" s="16"/>
      <c r="F508" s="15"/>
      <c r="G508" s="15"/>
      <c r="H508" s="17" t="str">
        <f aca="true">IF(AND(A508&lt;&gt;"",G508="",F508&lt;&gt;"",F508&lt;TODAY()),TODAY()-F508,"")</f>
        <v/>
      </c>
      <c r="I508" s="16"/>
    </row>
    <row r="509" customFormat="false" ht="15" hidden="false" customHeight="false" outlineLevel="0" collapsed="false">
      <c r="A509" s="15"/>
      <c r="B509" s="16"/>
      <c r="C509" s="13" t="str">
        <f aca="false">IFERROR(IF(B509="","",VLOOKUP(B509,Inventory!A:B,2,FALSE())),"")</f>
        <v/>
      </c>
      <c r="D509" s="16"/>
      <c r="E509" s="16"/>
      <c r="F509" s="15"/>
      <c r="G509" s="15"/>
      <c r="H509" s="17" t="str">
        <f aca="true">IF(AND(A509&lt;&gt;"",G509="",F509&lt;&gt;"",F509&lt;TODAY()),TODAY()-F509,"")</f>
        <v/>
      </c>
      <c r="I509" s="16"/>
    </row>
    <row r="510" customFormat="false" ht="15" hidden="false" customHeight="false" outlineLevel="0" collapsed="false">
      <c r="A510" s="15"/>
      <c r="B510" s="16"/>
      <c r="C510" s="13" t="str">
        <f aca="false">IFERROR(IF(B510="","",VLOOKUP(B510,Inventory!A:B,2,FALSE())),"")</f>
        <v/>
      </c>
      <c r="D510" s="16"/>
      <c r="E510" s="16"/>
      <c r="F510" s="15"/>
      <c r="G510" s="15"/>
      <c r="H510" s="17" t="str">
        <f aca="true">IF(AND(A510&lt;&gt;"",G510="",F510&lt;&gt;"",F510&lt;TODAY()),TODAY()-F510,"")</f>
        <v/>
      </c>
      <c r="I510" s="16"/>
    </row>
    <row r="511" customFormat="false" ht="15" hidden="false" customHeight="false" outlineLevel="0" collapsed="false">
      <c r="A511" s="15"/>
      <c r="B511" s="16"/>
      <c r="C511" s="13" t="str">
        <f aca="false">IFERROR(IF(B511="","",VLOOKUP(B511,Inventory!A:B,2,FALSE())),"")</f>
        <v/>
      </c>
      <c r="D511" s="16"/>
      <c r="E511" s="16"/>
      <c r="F511" s="15"/>
      <c r="G511" s="15"/>
      <c r="H511" s="17" t="str">
        <f aca="true">IF(AND(A511&lt;&gt;"",G511="",F511&lt;&gt;"",F511&lt;TODAY()),TODAY()-F511,"")</f>
        <v/>
      </c>
      <c r="I511" s="16"/>
    </row>
    <row r="512" customFormat="false" ht="15" hidden="false" customHeight="false" outlineLevel="0" collapsed="false">
      <c r="A512" s="15"/>
      <c r="B512" s="16"/>
      <c r="C512" s="13" t="str">
        <f aca="false">IFERROR(IF(B512="","",VLOOKUP(B512,Inventory!A:B,2,FALSE())),"")</f>
        <v/>
      </c>
      <c r="D512" s="16"/>
      <c r="E512" s="16"/>
      <c r="F512" s="15"/>
      <c r="G512" s="15"/>
      <c r="H512" s="17" t="str">
        <f aca="true">IF(AND(A512&lt;&gt;"",G512="",F512&lt;&gt;"",F512&lt;TODAY()),TODAY()-F512,"")</f>
        <v/>
      </c>
      <c r="I512" s="16"/>
    </row>
    <row r="513" customFormat="false" ht="15" hidden="false" customHeight="false" outlineLevel="0" collapsed="false">
      <c r="A513" s="15"/>
      <c r="B513" s="16"/>
      <c r="C513" s="13" t="str">
        <f aca="false">IFERROR(IF(B513="","",VLOOKUP(B513,Inventory!A:B,2,FALSE())),"")</f>
        <v/>
      </c>
      <c r="D513" s="16"/>
      <c r="E513" s="16"/>
      <c r="F513" s="15"/>
      <c r="G513" s="15"/>
      <c r="H513" s="17" t="str">
        <f aca="true">IF(AND(A513&lt;&gt;"",G513="",F513&lt;&gt;"",F513&lt;TODAY()),TODAY()-F513,"")</f>
        <v/>
      </c>
      <c r="I513" s="16"/>
    </row>
    <row r="514" customFormat="false" ht="15" hidden="false" customHeight="false" outlineLevel="0" collapsed="false">
      <c r="A514" s="15"/>
      <c r="B514" s="16"/>
      <c r="C514" s="13" t="str">
        <f aca="false">IFERROR(IF(B514="","",VLOOKUP(B514,Inventory!A:B,2,FALSE())),"")</f>
        <v/>
      </c>
      <c r="D514" s="16"/>
      <c r="E514" s="16"/>
      <c r="F514" s="15"/>
      <c r="G514" s="15"/>
      <c r="H514" s="17" t="str">
        <f aca="true">IF(AND(A514&lt;&gt;"",G514="",F514&lt;&gt;"",F514&lt;TODAY()),TODAY()-F514,"")</f>
        <v/>
      </c>
      <c r="I514" s="16"/>
    </row>
    <row r="515" customFormat="false" ht="15" hidden="false" customHeight="false" outlineLevel="0" collapsed="false">
      <c r="A515" s="15"/>
      <c r="B515" s="16"/>
      <c r="C515" s="13" t="str">
        <f aca="false">IFERROR(IF(B515="","",VLOOKUP(B515,Inventory!A:B,2,FALSE())),"")</f>
        <v/>
      </c>
      <c r="D515" s="16"/>
      <c r="E515" s="16"/>
      <c r="F515" s="15"/>
      <c r="G515" s="15"/>
      <c r="H515" s="17" t="str">
        <f aca="true">IF(AND(A515&lt;&gt;"",G515="",F515&lt;&gt;"",F515&lt;TODAY()),TODAY()-F515,"")</f>
        <v/>
      </c>
      <c r="I515" s="16"/>
    </row>
    <row r="516" customFormat="false" ht="15" hidden="false" customHeight="false" outlineLevel="0" collapsed="false">
      <c r="A516" s="15"/>
      <c r="B516" s="16"/>
      <c r="C516" s="13" t="str">
        <f aca="false">IFERROR(IF(B516="","",VLOOKUP(B516,Inventory!A:B,2,FALSE())),"")</f>
        <v/>
      </c>
      <c r="D516" s="16"/>
      <c r="E516" s="16"/>
      <c r="F516" s="15"/>
      <c r="G516" s="15"/>
      <c r="H516" s="17" t="str">
        <f aca="true">IF(AND(A516&lt;&gt;"",G516="",F516&lt;&gt;"",F516&lt;TODAY()),TODAY()-F516,"")</f>
        <v/>
      </c>
      <c r="I516" s="16"/>
    </row>
    <row r="517" customFormat="false" ht="15" hidden="false" customHeight="false" outlineLevel="0" collapsed="false">
      <c r="A517" s="15"/>
      <c r="B517" s="16"/>
      <c r="C517" s="13" t="str">
        <f aca="false">IFERROR(IF(B517="","",VLOOKUP(B517,Inventory!A:B,2,FALSE())),"")</f>
        <v/>
      </c>
      <c r="D517" s="16"/>
      <c r="E517" s="16"/>
      <c r="F517" s="15"/>
      <c r="G517" s="15"/>
      <c r="H517" s="17" t="str">
        <f aca="true">IF(AND(A517&lt;&gt;"",G517="",F517&lt;&gt;"",F517&lt;TODAY()),TODAY()-F517,"")</f>
        <v/>
      </c>
      <c r="I517" s="16"/>
    </row>
    <row r="518" customFormat="false" ht="15" hidden="false" customHeight="false" outlineLevel="0" collapsed="false">
      <c r="A518" s="15"/>
      <c r="B518" s="16"/>
      <c r="C518" s="13" t="str">
        <f aca="false">IFERROR(IF(B518="","",VLOOKUP(B518,Inventory!A:B,2,FALSE())),"")</f>
        <v/>
      </c>
      <c r="D518" s="16"/>
      <c r="E518" s="16"/>
      <c r="F518" s="15"/>
      <c r="G518" s="15"/>
      <c r="H518" s="17" t="str">
        <f aca="true">IF(AND(A518&lt;&gt;"",G518="",F518&lt;&gt;"",F518&lt;TODAY()),TODAY()-F518,"")</f>
        <v/>
      </c>
      <c r="I518" s="16"/>
    </row>
    <row r="519" customFormat="false" ht="15" hidden="false" customHeight="false" outlineLevel="0" collapsed="false">
      <c r="A519" s="15"/>
      <c r="B519" s="16"/>
      <c r="C519" s="13" t="str">
        <f aca="false">IFERROR(IF(B519="","",VLOOKUP(B519,Inventory!A:B,2,FALSE())),"")</f>
        <v/>
      </c>
      <c r="D519" s="16"/>
      <c r="E519" s="16"/>
      <c r="F519" s="15"/>
      <c r="G519" s="15"/>
      <c r="H519" s="17" t="str">
        <f aca="true">IF(AND(A519&lt;&gt;"",G519="",F519&lt;&gt;"",F519&lt;TODAY()),TODAY()-F519,"")</f>
        <v/>
      </c>
      <c r="I519" s="16"/>
    </row>
    <row r="520" customFormat="false" ht="15" hidden="false" customHeight="false" outlineLevel="0" collapsed="false">
      <c r="A520" s="15"/>
      <c r="B520" s="16"/>
      <c r="C520" s="13" t="str">
        <f aca="false">IFERROR(IF(B520="","",VLOOKUP(B520,Inventory!A:B,2,FALSE())),"")</f>
        <v/>
      </c>
      <c r="D520" s="16"/>
      <c r="E520" s="16"/>
      <c r="F520" s="15"/>
      <c r="G520" s="15"/>
      <c r="H520" s="17" t="str">
        <f aca="true">IF(AND(A520&lt;&gt;"",G520="",F520&lt;&gt;"",F520&lt;TODAY()),TODAY()-F520,"")</f>
        <v/>
      </c>
      <c r="I520" s="16"/>
    </row>
    <row r="521" customFormat="false" ht="15" hidden="false" customHeight="false" outlineLevel="0" collapsed="false">
      <c r="A521" s="15"/>
      <c r="B521" s="16"/>
      <c r="C521" s="13" t="str">
        <f aca="false">IFERROR(IF(B521="","",VLOOKUP(B521,Inventory!A:B,2,FALSE())),"")</f>
        <v/>
      </c>
      <c r="D521" s="16"/>
      <c r="E521" s="16"/>
      <c r="F521" s="15"/>
      <c r="G521" s="15"/>
      <c r="H521" s="17" t="str">
        <f aca="true">IF(AND(A521&lt;&gt;"",G521="",F521&lt;&gt;"",F521&lt;TODAY()),TODAY()-F521,"")</f>
        <v/>
      </c>
      <c r="I521" s="16"/>
    </row>
    <row r="522" customFormat="false" ht="15" hidden="false" customHeight="false" outlineLevel="0" collapsed="false">
      <c r="A522" s="15"/>
      <c r="B522" s="16"/>
      <c r="C522" s="13" t="str">
        <f aca="false">IFERROR(IF(B522="","",VLOOKUP(B522,Inventory!A:B,2,FALSE())),"")</f>
        <v/>
      </c>
      <c r="D522" s="16"/>
      <c r="E522" s="16"/>
      <c r="F522" s="15"/>
      <c r="G522" s="15"/>
      <c r="H522" s="17" t="str">
        <f aca="true">IF(AND(A522&lt;&gt;"",G522="",F522&lt;&gt;"",F522&lt;TODAY()),TODAY()-F522,"")</f>
        <v/>
      </c>
      <c r="I522" s="16"/>
    </row>
    <row r="523" customFormat="false" ht="15" hidden="false" customHeight="false" outlineLevel="0" collapsed="false">
      <c r="A523" s="15"/>
      <c r="B523" s="16"/>
      <c r="C523" s="13" t="str">
        <f aca="false">IFERROR(IF(B523="","",VLOOKUP(B523,Inventory!A:B,2,FALSE())),"")</f>
        <v/>
      </c>
      <c r="D523" s="16"/>
      <c r="E523" s="16"/>
      <c r="F523" s="15"/>
      <c r="G523" s="15"/>
      <c r="H523" s="17" t="str">
        <f aca="true">IF(AND(A523&lt;&gt;"",G523="",F523&lt;&gt;"",F523&lt;TODAY()),TODAY()-F523,"")</f>
        <v/>
      </c>
      <c r="I523" s="16"/>
    </row>
    <row r="524" customFormat="false" ht="15" hidden="false" customHeight="false" outlineLevel="0" collapsed="false">
      <c r="A524" s="15"/>
      <c r="B524" s="16"/>
      <c r="C524" s="13" t="str">
        <f aca="false">IFERROR(IF(B524="","",VLOOKUP(B524,Inventory!A:B,2,FALSE())),"")</f>
        <v/>
      </c>
      <c r="D524" s="16"/>
      <c r="E524" s="16"/>
      <c r="F524" s="15"/>
      <c r="G524" s="15"/>
      <c r="H524" s="17" t="str">
        <f aca="true">IF(AND(A524&lt;&gt;"",G524="",F524&lt;&gt;"",F524&lt;TODAY()),TODAY()-F524,"")</f>
        <v/>
      </c>
      <c r="I524" s="16"/>
    </row>
    <row r="525" customFormat="false" ht="15" hidden="false" customHeight="false" outlineLevel="0" collapsed="false">
      <c r="A525" s="15"/>
      <c r="B525" s="16"/>
      <c r="C525" s="13" t="str">
        <f aca="false">IFERROR(IF(B525="","",VLOOKUP(B525,Inventory!A:B,2,FALSE())),"")</f>
        <v/>
      </c>
      <c r="D525" s="16"/>
      <c r="E525" s="16"/>
      <c r="F525" s="15"/>
      <c r="G525" s="15"/>
      <c r="H525" s="17" t="str">
        <f aca="true">IF(AND(A525&lt;&gt;"",G525="",F525&lt;&gt;"",F525&lt;TODAY()),TODAY()-F525,"")</f>
        <v/>
      </c>
      <c r="I525" s="16"/>
    </row>
    <row r="526" customFormat="false" ht="15" hidden="false" customHeight="false" outlineLevel="0" collapsed="false">
      <c r="A526" s="15"/>
      <c r="B526" s="16"/>
      <c r="C526" s="13" t="str">
        <f aca="false">IFERROR(IF(B526="","",VLOOKUP(B526,Inventory!A:B,2,FALSE())),"")</f>
        <v/>
      </c>
      <c r="D526" s="16"/>
      <c r="E526" s="16"/>
      <c r="F526" s="15"/>
      <c r="G526" s="15"/>
      <c r="H526" s="17" t="str">
        <f aca="true">IF(AND(A526&lt;&gt;"",G526="",F526&lt;&gt;"",F526&lt;TODAY()),TODAY()-F526,"")</f>
        <v/>
      </c>
      <c r="I526" s="16"/>
    </row>
    <row r="527" customFormat="false" ht="15" hidden="false" customHeight="false" outlineLevel="0" collapsed="false">
      <c r="A527" s="15"/>
      <c r="B527" s="16"/>
      <c r="C527" s="13" t="str">
        <f aca="false">IFERROR(IF(B527="","",VLOOKUP(B527,Inventory!A:B,2,FALSE())),"")</f>
        <v/>
      </c>
      <c r="D527" s="16"/>
      <c r="E527" s="16"/>
      <c r="F527" s="15"/>
      <c r="G527" s="15"/>
      <c r="H527" s="17" t="str">
        <f aca="true">IF(AND(A527&lt;&gt;"",G527="",F527&lt;&gt;"",F527&lt;TODAY()),TODAY()-F527,"")</f>
        <v/>
      </c>
      <c r="I527" s="16"/>
    </row>
    <row r="528" customFormat="false" ht="15" hidden="false" customHeight="false" outlineLevel="0" collapsed="false">
      <c r="A528" s="15"/>
      <c r="B528" s="16"/>
      <c r="C528" s="13" t="str">
        <f aca="false">IFERROR(IF(B528="","",VLOOKUP(B528,Inventory!A:B,2,FALSE())),"")</f>
        <v/>
      </c>
      <c r="D528" s="16"/>
      <c r="E528" s="16"/>
      <c r="F528" s="15"/>
      <c r="G528" s="15"/>
      <c r="H528" s="17" t="str">
        <f aca="true">IF(AND(A528&lt;&gt;"",G528="",F528&lt;&gt;"",F528&lt;TODAY()),TODAY()-F528,"")</f>
        <v/>
      </c>
      <c r="I528" s="16"/>
    </row>
    <row r="529" customFormat="false" ht="15" hidden="false" customHeight="false" outlineLevel="0" collapsed="false">
      <c r="A529" s="15"/>
      <c r="B529" s="16"/>
      <c r="C529" s="13" t="str">
        <f aca="false">IFERROR(IF(B529="","",VLOOKUP(B529,Inventory!A:B,2,FALSE())),"")</f>
        <v/>
      </c>
      <c r="D529" s="16"/>
      <c r="E529" s="16"/>
      <c r="F529" s="15"/>
      <c r="G529" s="15"/>
      <c r="H529" s="17" t="str">
        <f aca="true">IF(AND(A529&lt;&gt;"",G529="",F529&lt;&gt;"",F529&lt;TODAY()),TODAY()-F529,"")</f>
        <v/>
      </c>
      <c r="I529" s="16"/>
    </row>
    <row r="530" customFormat="false" ht="15" hidden="false" customHeight="false" outlineLevel="0" collapsed="false">
      <c r="A530" s="15"/>
      <c r="B530" s="16"/>
      <c r="C530" s="13" t="str">
        <f aca="false">IFERROR(IF(B530="","",VLOOKUP(B530,Inventory!A:B,2,FALSE())),"")</f>
        <v/>
      </c>
      <c r="D530" s="16"/>
      <c r="E530" s="16"/>
      <c r="F530" s="15"/>
      <c r="G530" s="15"/>
      <c r="H530" s="17" t="str">
        <f aca="true">IF(AND(A530&lt;&gt;"",G530="",F530&lt;&gt;"",F530&lt;TODAY()),TODAY()-F530,"")</f>
        <v/>
      </c>
      <c r="I530" s="16"/>
    </row>
    <row r="531" customFormat="false" ht="15" hidden="false" customHeight="false" outlineLevel="0" collapsed="false">
      <c r="A531" s="15"/>
      <c r="B531" s="16"/>
      <c r="C531" s="13" t="str">
        <f aca="false">IFERROR(IF(B531="","",VLOOKUP(B531,Inventory!A:B,2,FALSE())),"")</f>
        <v/>
      </c>
      <c r="D531" s="16"/>
      <c r="E531" s="16"/>
      <c r="F531" s="15"/>
      <c r="G531" s="15"/>
      <c r="H531" s="17" t="str">
        <f aca="true">IF(AND(A531&lt;&gt;"",G531="",F531&lt;&gt;"",F531&lt;TODAY()),TODAY()-F531,"")</f>
        <v/>
      </c>
      <c r="I531" s="16"/>
    </row>
    <row r="532" customFormat="false" ht="15" hidden="false" customHeight="false" outlineLevel="0" collapsed="false">
      <c r="A532" s="15"/>
      <c r="B532" s="16"/>
      <c r="C532" s="13" t="str">
        <f aca="false">IFERROR(IF(B532="","",VLOOKUP(B532,Inventory!A:B,2,FALSE())),"")</f>
        <v/>
      </c>
      <c r="D532" s="16"/>
      <c r="E532" s="16"/>
      <c r="F532" s="15"/>
      <c r="G532" s="15"/>
      <c r="H532" s="17" t="str">
        <f aca="true">IF(AND(A532&lt;&gt;"",G532="",F532&lt;&gt;"",F532&lt;TODAY()),TODAY()-F532,"")</f>
        <v/>
      </c>
      <c r="I532" s="16"/>
    </row>
    <row r="533" customFormat="false" ht="15" hidden="false" customHeight="false" outlineLevel="0" collapsed="false">
      <c r="A533" s="15"/>
      <c r="B533" s="16"/>
      <c r="C533" s="13" t="str">
        <f aca="false">IFERROR(IF(B533="","",VLOOKUP(B533,Inventory!A:B,2,FALSE())),"")</f>
        <v/>
      </c>
      <c r="D533" s="16"/>
      <c r="E533" s="16"/>
      <c r="F533" s="15"/>
      <c r="G533" s="15"/>
      <c r="H533" s="17" t="str">
        <f aca="true">IF(AND(A533&lt;&gt;"",G533="",F533&lt;&gt;"",F533&lt;TODAY()),TODAY()-F533,"")</f>
        <v/>
      </c>
      <c r="I533" s="16"/>
    </row>
    <row r="534" customFormat="false" ht="15" hidden="false" customHeight="false" outlineLevel="0" collapsed="false">
      <c r="A534" s="15"/>
      <c r="B534" s="16"/>
      <c r="C534" s="13" t="str">
        <f aca="false">IFERROR(IF(B534="","",VLOOKUP(B534,Inventory!A:B,2,FALSE())),"")</f>
        <v/>
      </c>
      <c r="D534" s="16"/>
      <c r="E534" s="16"/>
      <c r="F534" s="15"/>
      <c r="G534" s="15"/>
      <c r="H534" s="17" t="str">
        <f aca="true">IF(AND(A534&lt;&gt;"",G534="",F534&lt;&gt;"",F534&lt;TODAY()),TODAY()-F534,"")</f>
        <v/>
      </c>
      <c r="I534" s="16"/>
    </row>
    <row r="535" customFormat="false" ht="15" hidden="false" customHeight="false" outlineLevel="0" collapsed="false">
      <c r="A535" s="15"/>
      <c r="B535" s="16"/>
      <c r="C535" s="13" t="str">
        <f aca="false">IFERROR(IF(B535="","",VLOOKUP(B535,Inventory!A:B,2,FALSE())),"")</f>
        <v/>
      </c>
      <c r="D535" s="16"/>
      <c r="E535" s="16"/>
      <c r="F535" s="15"/>
      <c r="G535" s="15"/>
      <c r="H535" s="17" t="str">
        <f aca="true">IF(AND(A535&lt;&gt;"",G535="",F535&lt;&gt;"",F535&lt;TODAY()),TODAY()-F535,"")</f>
        <v/>
      </c>
      <c r="I535" s="16"/>
    </row>
    <row r="536" customFormat="false" ht="15" hidden="false" customHeight="false" outlineLevel="0" collapsed="false">
      <c r="A536" s="15"/>
      <c r="B536" s="16"/>
      <c r="C536" s="13" t="str">
        <f aca="false">IFERROR(IF(B536="","",VLOOKUP(B536,Inventory!A:B,2,FALSE())),"")</f>
        <v/>
      </c>
      <c r="D536" s="16"/>
      <c r="E536" s="16"/>
      <c r="F536" s="15"/>
      <c r="G536" s="15"/>
      <c r="H536" s="17" t="str">
        <f aca="true">IF(AND(A536&lt;&gt;"",G536="",F536&lt;&gt;"",F536&lt;TODAY()),TODAY()-F536,"")</f>
        <v/>
      </c>
      <c r="I536" s="16"/>
    </row>
    <row r="537" customFormat="false" ht="15" hidden="false" customHeight="false" outlineLevel="0" collapsed="false">
      <c r="A537" s="15"/>
      <c r="B537" s="16"/>
      <c r="C537" s="13" t="str">
        <f aca="false">IFERROR(IF(B537="","",VLOOKUP(B537,Inventory!A:B,2,FALSE())),"")</f>
        <v/>
      </c>
      <c r="D537" s="16"/>
      <c r="E537" s="16"/>
      <c r="F537" s="15"/>
      <c r="G537" s="15"/>
      <c r="H537" s="17" t="str">
        <f aca="true">IF(AND(A537&lt;&gt;"",G537="",F537&lt;&gt;"",F537&lt;TODAY()),TODAY()-F537,"")</f>
        <v/>
      </c>
      <c r="I537" s="16"/>
    </row>
    <row r="538" customFormat="false" ht="15" hidden="false" customHeight="false" outlineLevel="0" collapsed="false">
      <c r="A538" s="15"/>
      <c r="B538" s="16"/>
      <c r="C538" s="13" t="str">
        <f aca="false">IFERROR(IF(B538="","",VLOOKUP(B538,Inventory!A:B,2,FALSE())),"")</f>
        <v/>
      </c>
      <c r="D538" s="16"/>
      <c r="E538" s="16"/>
      <c r="F538" s="15"/>
      <c r="G538" s="15"/>
      <c r="H538" s="17" t="str">
        <f aca="true">IF(AND(A538&lt;&gt;"",G538="",F538&lt;&gt;"",F538&lt;TODAY()),TODAY()-F538,"")</f>
        <v/>
      </c>
      <c r="I538" s="16"/>
    </row>
    <row r="539" customFormat="false" ht="15" hidden="false" customHeight="false" outlineLevel="0" collapsed="false">
      <c r="A539" s="15"/>
      <c r="B539" s="16"/>
      <c r="C539" s="13" t="str">
        <f aca="false">IFERROR(IF(B539="","",VLOOKUP(B539,Inventory!A:B,2,FALSE())),"")</f>
        <v/>
      </c>
      <c r="D539" s="16"/>
      <c r="E539" s="16"/>
      <c r="F539" s="15"/>
      <c r="G539" s="15"/>
      <c r="H539" s="17" t="str">
        <f aca="true">IF(AND(A539&lt;&gt;"",G539="",F539&lt;&gt;"",F539&lt;TODAY()),TODAY()-F539,"")</f>
        <v/>
      </c>
      <c r="I539" s="16"/>
    </row>
    <row r="540" customFormat="false" ht="15" hidden="false" customHeight="false" outlineLevel="0" collapsed="false">
      <c r="A540" s="15"/>
      <c r="B540" s="16"/>
      <c r="C540" s="13" t="str">
        <f aca="false">IFERROR(IF(B540="","",VLOOKUP(B540,Inventory!A:B,2,FALSE())),"")</f>
        <v/>
      </c>
      <c r="D540" s="16"/>
      <c r="E540" s="16"/>
      <c r="F540" s="15"/>
      <c r="G540" s="15"/>
      <c r="H540" s="17" t="str">
        <f aca="true">IF(AND(A540&lt;&gt;"",G540="",F540&lt;&gt;"",F540&lt;TODAY()),TODAY()-F540,"")</f>
        <v/>
      </c>
      <c r="I540" s="16"/>
    </row>
    <row r="541" customFormat="false" ht="15" hidden="false" customHeight="false" outlineLevel="0" collapsed="false">
      <c r="A541" s="15"/>
      <c r="B541" s="16"/>
      <c r="C541" s="13" t="str">
        <f aca="false">IFERROR(IF(B541="","",VLOOKUP(B541,Inventory!A:B,2,FALSE())),"")</f>
        <v/>
      </c>
      <c r="D541" s="16"/>
      <c r="E541" s="16"/>
      <c r="F541" s="15"/>
      <c r="G541" s="15"/>
      <c r="H541" s="17" t="str">
        <f aca="true">IF(AND(A541&lt;&gt;"",G541="",F541&lt;&gt;"",F541&lt;TODAY()),TODAY()-F541,"")</f>
        <v/>
      </c>
      <c r="I541" s="16"/>
    </row>
    <row r="542" customFormat="false" ht="15" hidden="false" customHeight="false" outlineLevel="0" collapsed="false">
      <c r="A542" s="15"/>
      <c r="B542" s="16"/>
      <c r="C542" s="13" t="str">
        <f aca="false">IFERROR(IF(B542="","",VLOOKUP(B542,Inventory!A:B,2,FALSE())),"")</f>
        <v/>
      </c>
      <c r="D542" s="16"/>
      <c r="E542" s="16"/>
      <c r="F542" s="15"/>
      <c r="G542" s="15"/>
      <c r="H542" s="17" t="str">
        <f aca="true">IF(AND(A542&lt;&gt;"",G542="",F542&lt;&gt;"",F542&lt;TODAY()),TODAY()-F542,"")</f>
        <v/>
      </c>
      <c r="I542" s="16"/>
    </row>
    <row r="543" customFormat="false" ht="15" hidden="false" customHeight="false" outlineLevel="0" collapsed="false">
      <c r="A543" s="15"/>
      <c r="B543" s="16"/>
      <c r="C543" s="13" t="str">
        <f aca="false">IFERROR(IF(B543="","",VLOOKUP(B543,Inventory!A:B,2,FALSE())),"")</f>
        <v/>
      </c>
      <c r="D543" s="16"/>
      <c r="E543" s="16"/>
      <c r="F543" s="15"/>
      <c r="G543" s="15"/>
      <c r="H543" s="17" t="str">
        <f aca="true">IF(AND(A543&lt;&gt;"",G543="",F543&lt;&gt;"",F543&lt;TODAY()),TODAY()-F543,"")</f>
        <v/>
      </c>
      <c r="I543" s="16"/>
    </row>
    <row r="544" customFormat="false" ht="15" hidden="false" customHeight="false" outlineLevel="0" collapsed="false">
      <c r="A544" s="15"/>
      <c r="B544" s="16"/>
      <c r="C544" s="13" t="str">
        <f aca="false">IFERROR(IF(B544="","",VLOOKUP(B544,Inventory!A:B,2,FALSE())),"")</f>
        <v/>
      </c>
      <c r="D544" s="16"/>
      <c r="E544" s="16"/>
      <c r="F544" s="15"/>
      <c r="G544" s="15"/>
      <c r="H544" s="17" t="str">
        <f aca="true">IF(AND(A544&lt;&gt;"",G544="",F544&lt;&gt;"",F544&lt;TODAY()),TODAY()-F544,"")</f>
        <v/>
      </c>
      <c r="I544" s="16"/>
    </row>
    <row r="545" customFormat="false" ht="15" hidden="false" customHeight="false" outlineLevel="0" collapsed="false">
      <c r="A545" s="15"/>
      <c r="B545" s="16"/>
      <c r="C545" s="13" t="str">
        <f aca="false">IFERROR(IF(B545="","",VLOOKUP(B545,Inventory!A:B,2,FALSE())),"")</f>
        <v/>
      </c>
      <c r="D545" s="16"/>
      <c r="E545" s="16"/>
      <c r="F545" s="15"/>
      <c r="G545" s="15"/>
      <c r="H545" s="17" t="str">
        <f aca="true">IF(AND(A545&lt;&gt;"",G545="",F545&lt;&gt;"",F545&lt;TODAY()),TODAY()-F545,"")</f>
        <v/>
      </c>
      <c r="I545" s="16"/>
    </row>
    <row r="546" customFormat="false" ht="15" hidden="false" customHeight="false" outlineLevel="0" collapsed="false">
      <c r="A546" s="15"/>
      <c r="B546" s="16"/>
      <c r="C546" s="13" t="str">
        <f aca="false">IFERROR(IF(B546="","",VLOOKUP(B546,Inventory!A:B,2,FALSE())),"")</f>
        <v/>
      </c>
      <c r="D546" s="16"/>
      <c r="E546" s="16"/>
      <c r="F546" s="15"/>
      <c r="G546" s="15"/>
      <c r="H546" s="17" t="str">
        <f aca="true">IF(AND(A546&lt;&gt;"",G546="",F546&lt;&gt;"",F546&lt;TODAY()),TODAY()-F546,"")</f>
        <v/>
      </c>
      <c r="I546" s="16"/>
    </row>
    <row r="547" customFormat="false" ht="15" hidden="false" customHeight="false" outlineLevel="0" collapsed="false">
      <c r="A547" s="15"/>
      <c r="B547" s="16"/>
      <c r="C547" s="13" t="str">
        <f aca="false">IFERROR(IF(B547="","",VLOOKUP(B547,Inventory!A:B,2,FALSE())),"")</f>
        <v/>
      </c>
      <c r="D547" s="16"/>
      <c r="E547" s="16"/>
      <c r="F547" s="15"/>
      <c r="G547" s="15"/>
      <c r="H547" s="17" t="str">
        <f aca="true">IF(AND(A547&lt;&gt;"",G547="",F547&lt;&gt;"",F547&lt;TODAY()),TODAY()-F547,"")</f>
        <v/>
      </c>
      <c r="I547" s="16"/>
    </row>
    <row r="548" customFormat="false" ht="15" hidden="false" customHeight="false" outlineLevel="0" collapsed="false">
      <c r="A548" s="15"/>
      <c r="B548" s="16"/>
      <c r="C548" s="13" t="str">
        <f aca="false">IFERROR(IF(B548="","",VLOOKUP(B548,Inventory!A:B,2,FALSE())),"")</f>
        <v/>
      </c>
      <c r="D548" s="16"/>
      <c r="E548" s="16"/>
      <c r="F548" s="15"/>
      <c r="G548" s="15"/>
      <c r="H548" s="17" t="str">
        <f aca="true">IF(AND(A548&lt;&gt;"",G548="",F548&lt;&gt;"",F548&lt;TODAY()),TODAY()-F548,"")</f>
        <v/>
      </c>
      <c r="I548" s="16"/>
    </row>
    <row r="549" customFormat="false" ht="15" hidden="false" customHeight="false" outlineLevel="0" collapsed="false">
      <c r="A549" s="15"/>
      <c r="B549" s="16"/>
      <c r="C549" s="13" t="str">
        <f aca="false">IFERROR(IF(B549="","",VLOOKUP(B549,Inventory!A:B,2,FALSE())),"")</f>
        <v/>
      </c>
      <c r="D549" s="16"/>
      <c r="E549" s="16"/>
      <c r="F549" s="15"/>
      <c r="G549" s="15"/>
      <c r="H549" s="17" t="str">
        <f aca="true">IF(AND(A549&lt;&gt;"",G549="",F549&lt;&gt;"",F549&lt;TODAY()),TODAY()-F549,"")</f>
        <v/>
      </c>
      <c r="I549" s="16"/>
    </row>
    <row r="550" customFormat="false" ht="15" hidden="false" customHeight="false" outlineLevel="0" collapsed="false">
      <c r="A550" s="15"/>
      <c r="B550" s="16"/>
      <c r="C550" s="13" t="str">
        <f aca="false">IFERROR(IF(B550="","",VLOOKUP(B550,Inventory!A:B,2,FALSE())),"")</f>
        <v/>
      </c>
      <c r="D550" s="16"/>
      <c r="E550" s="16"/>
      <c r="F550" s="15"/>
      <c r="G550" s="15"/>
      <c r="H550" s="17" t="str">
        <f aca="true">IF(AND(A550&lt;&gt;"",G550="",F550&lt;&gt;"",F550&lt;TODAY()),TODAY()-F550,"")</f>
        <v/>
      </c>
      <c r="I550" s="16"/>
    </row>
    <row r="551" customFormat="false" ht="15" hidden="false" customHeight="false" outlineLevel="0" collapsed="false">
      <c r="A551" s="15"/>
      <c r="B551" s="16"/>
      <c r="C551" s="13" t="str">
        <f aca="false">IFERROR(IF(B551="","",VLOOKUP(B551,Inventory!A:B,2,FALSE())),"")</f>
        <v/>
      </c>
      <c r="D551" s="16"/>
      <c r="E551" s="16"/>
      <c r="F551" s="15"/>
      <c r="G551" s="15"/>
      <c r="H551" s="17" t="str">
        <f aca="true">IF(AND(A551&lt;&gt;"",G551="",F551&lt;&gt;"",F551&lt;TODAY()),TODAY()-F551,"")</f>
        <v/>
      </c>
      <c r="I551" s="16"/>
    </row>
    <row r="552" customFormat="false" ht="15" hidden="false" customHeight="false" outlineLevel="0" collapsed="false">
      <c r="A552" s="15"/>
      <c r="B552" s="16"/>
      <c r="C552" s="13" t="str">
        <f aca="false">IFERROR(IF(B552="","",VLOOKUP(B552,Inventory!A:B,2,FALSE())),"")</f>
        <v/>
      </c>
      <c r="D552" s="16"/>
      <c r="E552" s="16"/>
      <c r="F552" s="15"/>
      <c r="G552" s="15"/>
      <c r="H552" s="17" t="str">
        <f aca="true">IF(AND(A552&lt;&gt;"",G552="",F552&lt;&gt;"",F552&lt;TODAY()),TODAY()-F552,"")</f>
        <v/>
      </c>
      <c r="I552" s="16"/>
    </row>
    <row r="553" customFormat="false" ht="15" hidden="false" customHeight="false" outlineLevel="0" collapsed="false">
      <c r="A553" s="15"/>
      <c r="B553" s="16"/>
      <c r="C553" s="13" t="str">
        <f aca="false">IFERROR(IF(B553="","",VLOOKUP(B553,Inventory!A:B,2,FALSE())),"")</f>
        <v/>
      </c>
      <c r="D553" s="16"/>
      <c r="E553" s="16"/>
      <c r="F553" s="15"/>
      <c r="G553" s="15"/>
      <c r="H553" s="17" t="str">
        <f aca="true">IF(AND(A553&lt;&gt;"",G553="",F553&lt;&gt;"",F553&lt;TODAY()),TODAY()-F553,"")</f>
        <v/>
      </c>
      <c r="I553" s="16"/>
    </row>
    <row r="554" customFormat="false" ht="15" hidden="false" customHeight="false" outlineLevel="0" collapsed="false">
      <c r="A554" s="15"/>
      <c r="B554" s="16"/>
      <c r="C554" s="13" t="str">
        <f aca="false">IFERROR(IF(B554="","",VLOOKUP(B554,Inventory!A:B,2,FALSE())),"")</f>
        <v/>
      </c>
      <c r="D554" s="16"/>
      <c r="E554" s="16"/>
      <c r="F554" s="15"/>
      <c r="G554" s="15"/>
      <c r="H554" s="17" t="str">
        <f aca="true">IF(AND(A554&lt;&gt;"",G554="",F554&lt;&gt;"",F554&lt;TODAY()),TODAY()-F554,"")</f>
        <v/>
      </c>
      <c r="I554" s="16"/>
    </row>
    <row r="555" customFormat="false" ht="15" hidden="false" customHeight="false" outlineLevel="0" collapsed="false">
      <c r="A555" s="15"/>
      <c r="B555" s="16"/>
      <c r="C555" s="13" t="str">
        <f aca="false">IFERROR(IF(B555="","",VLOOKUP(B555,Inventory!A:B,2,FALSE())),"")</f>
        <v/>
      </c>
      <c r="D555" s="16"/>
      <c r="E555" s="16"/>
      <c r="F555" s="15"/>
      <c r="G555" s="15"/>
      <c r="H555" s="17" t="str">
        <f aca="true">IF(AND(A555&lt;&gt;"",G555="",F555&lt;&gt;"",F555&lt;TODAY()),TODAY()-F555,"")</f>
        <v/>
      </c>
      <c r="I555" s="16"/>
    </row>
    <row r="556" customFormat="false" ht="15" hidden="false" customHeight="false" outlineLevel="0" collapsed="false">
      <c r="A556" s="15"/>
      <c r="B556" s="16"/>
      <c r="C556" s="13" t="str">
        <f aca="false">IFERROR(IF(B556="","",VLOOKUP(B556,Inventory!A:B,2,FALSE())),"")</f>
        <v/>
      </c>
      <c r="D556" s="16"/>
      <c r="E556" s="16"/>
      <c r="F556" s="15"/>
      <c r="G556" s="15"/>
      <c r="H556" s="17" t="str">
        <f aca="true">IF(AND(A556&lt;&gt;"",G556="",F556&lt;&gt;"",F556&lt;TODAY()),TODAY()-F556,"")</f>
        <v/>
      </c>
      <c r="I556" s="16"/>
    </row>
    <row r="557" customFormat="false" ht="15" hidden="false" customHeight="false" outlineLevel="0" collapsed="false">
      <c r="A557" s="15"/>
      <c r="B557" s="16"/>
      <c r="C557" s="13" t="str">
        <f aca="false">IFERROR(IF(B557="","",VLOOKUP(B557,Inventory!A:B,2,FALSE())),"")</f>
        <v/>
      </c>
      <c r="D557" s="16"/>
      <c r="E557" s="16"/>
      <c r="F557" s="15"/>
      <c r="G557" s="15"/>
      <c r="H557" s="17" t="str">
        <f aca="true">IF(AND(A557&lt;&gt;"",G557="",F557&lt;&gt;"",F557&lt;TODAY()),TODAY()-F557,"")</f>
        <v/>
      </c>
      <c r="I557" s="16"/>
    </row>
    <row r="558" customFormat="false" ht="15" hidden="false" customHeight="false" outlineLevel="0" collapsed="false">
      <c r="A558" s="15"/>
      <c r="B558" s="16"/>
      <c r="C558" s="13" t="str">
        <f aca="false">IFERROR(IF(B558="","",VLOOKUP(B558,Inventory!A:B,2,FALSE())),"")</f>
        <v/>
      </c>
      <c r="D558" s="16"/>
      <c r="E558" s="16"/>
      <c r="F558" s="15"/>
      <c r="G558" s="15"/>
      <c r="H558" s="17" t="str">
        <f aca="true">IF(AND(A558&lt;&gt;"",G558="",F558&lt;&gt;"",F558&lt;TODAY()),TODAY()-F558,"")</f>
        <v/>
      </c>
      <c r="I558" s="16"/>
    </row>
    <row r="559" customFormat="false" ht="15" hidden="false" customHeight="false" outlineLevel="0" collapsed="false">
      <c r="A559" s="15"/>
      <c r="B559" s="16"/>
      <c r="C559" s="13" t="str">
        <f aca="false">IFERROR(IF(B559="","",VLOOKUP(B559,Inventory!A:B,2,FALSE())),"")</f>
        <v/>
      </c>
      <c r="D559" s="16"/>
      <c r="E559" s="16"/>
      <c r="F559" s="15"/>
      <c r="G559" s="15"/>
      <c r="H559" s="17" t="str">
        <f aca="true">IF(AND(A559&lt;&gt;"",G559="",F559&lt;&gt;"",F559&lt;TODAY()),TODAY()-F559,"")</f>
        <v/>
      </c>
      <c r="I559" s="16"/>
    </row>
    <row r="560" customFormat="false" ht="15" hidden="false" customHeight="false" outlineLevel="0" collapsed="false">
      <c r="A560" s="15"/>
      <c r="B560" s="16"/>
      <c r="C560" s="13" t="str">
        <f aca="false">IFERROR(IF(B560="","",VLOOKUP(B560,Inventory!A:B,2,FALSE())),"")</f>
        <v/>
      </c>
      <c r="D560" s="16"/>
      <c r="E560" s="16"/>
      <c r="F560" s="15"/>
      <c r="G560" s="15"/>
      <c r="H560" s="17" t="str">
        <f aca="true">IF(AND(A560&lt;&gt;"",G560="",F560&lt;&gt;"",F560&lt;TODAY()),TODAY()-F560,"")</f>
        <v/>
      </c>
      <c r="I560" s="16"/>
    </row>
    <row r="561" customFormat="false" ht="15" hidden="false" customHeight="false" outlineLevel="0" collapsed="false">
      <c r="A561" s="15"/>
      <c r="B561" s="16"/>
      <c r="C561" s="13" t="str">
        <f aca="false">IFERROR(IF(B561="","",VLOOKUP(B561,Inventory!A:B,2,FALSE())),"")</f>
        <v/>
      </c>
      <c r="D561" s="16"/>
      <c r="E561" s="16"/>
      <c r="F561" s="15"/>
      <c r="G561" s="15"/>
      <c r="H561" s="17" t="str">
        <f aca="true">IF(AND(A561&lt;&gt;"",G561="",F561&lt;&gt;"",F561&lt;TODAY()),TODAY()-F561,"")</f>
        <v/>
      </c>
      <c r="I561" s="16"/>
    </row>
    <row r="562" customFormat="false" ht="15" hidden="false" customHeight="false" outlineLevel="0" collapsed="false">
      <c r="A562" s="15"/>
      <c r="B562" s="16"/>
      <c r="C562" s="13" t="str">
        <f aca="false">IFERROR(IF(B562="","",VLOOKUP(B562,Inventory!A:B,2,FALSE())),"")</f>
        <v/>
      </c>
      <c r="D562" s="16"/>
      <c r="E562" s="16"/>
      <c r="F562" s="15"/>
      <c r="G562" s="15"/>
      <c r="H562" s="17" t="str">
        <f aca="true">IF(AND(A562&lt;&gt;"",G562="",F562&lt;&gt;"",F562&lt;TODAY()),TODAY()-F562,"")</f>
        <v/>
      </c>
      <c r="I562" s="16"/>
    </row>
    <row r="563" customFormat="false" ht="15" hidden="false" customHeight="false" outlineLevel="0" collapsed="false">
      <c r="A563" s="15"/>
      <c r="B563" s="16"/>
      <c r="C563" s="13" t="str">
        <f aca="false">IFERROR(IF(B563="","",VLOOKUP(B563,Inventory!A:B,2,FALSE())),"")</f>
        <v/>
      </c>
      <c r="D563" s="16"/>
      <c r="E563" s="16"/>
      <c r="F563" s="15"/>
      <c r="G563" s="15"/>
      <c r="H563" s="17" t="str">
        <f aca="true">IF(AND(A563&lt;&gt;"",G563="",F563&lt;&gt;"",F563&lt;TODAY()),TODAY()-F563,"")</f>
        <v/>
      </c>
      <c r="I563" s="16"/>
    </row>
    <row r="564" customFormat="false" ht="15" hidden="false" customHeight="false" outlineLevel="0" collapsed="false">
      <c r="A564" s="15"/>
      <c r="B564" s="16"/>
      <c r="C564" s="13" t="str">
        <f aca="false">IFERROR(IF(B564="","",VLOOKUP(B564,Inventory!A:B,2,FALSE())),"")</f>
        <v/>
      </c>
      <c r="D564" s="16"/>
      <c r="E564" s="16"/>
      <c r="F564" s="15"/>
      <c r="G564" s="15"/>
      <c r="H564" s="17" t="str">
        <f aca="true">IF(AND(A564&lt;&gt;"",G564="",F564&lt;&gt;"",F564&lt;TODAY()),TODAY()-F564,"")</f>
        <v/>
      </c>
      <c r="I564" s="16"/>
    </row>
    <row r="565" customFormat="false" ht="15" hidden="false" customHeight="false" outlineLevel="0" collapsed="false">
      <c r="A565" s="15"/>
      <c r="B565" s="16"/>
      <c r="C565" s="13" t="str">
        <f aca="false">IFERROR(IF(B565="","",VLOOKUP(B565,Inventory!A:B,2,FALSE())),"")</f>
        <v/>
      </c>
      <c r="D565" s="16"/>
      <c r="E565" s="16"/>
      <c r="F565" s="15"/>
      <c r="G565" s="15"/>
      <c r="H565" s="17" t="str">
        <f aca="true">IF(AND(A565&lt;&gt;"",G565="",F565&lt;&gt;"",F565&lt;TODAY()),TODAY()-F565,"")</f>
        <v/>
      </c>
      <c r="I565" s="16"/>
    </row>
    <row r="566" customFormat="false" ht="15" hidden="false" customHeight="false" outlineLevel="0" collapsed="false">
      <c r="A566" s="15"/>
      <c r="B566" s="16"/>
      <c r="C566" s="13" t="str">
        <f aca="false">IFERROR(IF(B566="","",VLOOKUP(B566,Inventory!A:B,2,FALSE())),"")</f>
        <v/>
      </c>
      <c r="D566" s="16"/>
      <c r="E566" s="16"/>
      <c r="F566" s="15"/>
      <c r="G566" s="15"/>
      <c r="H566" s="17" t="str">
        <f aca="true">IF(AND(A566&lt;&gt;"",G566="",F566&lt;&gt;"",F566&lt;TODAY()),TODAY()-F566,"")</f>
        <v/>
      </c>
      <c r="I566" s="16"/>
    </row>
    <row r="567" customFormat="false" ht="15" hidden="false" customHeight="false" outlineLevel="0" collapsed="false">
      <c r="A567" s="15"/>
      <c r="B567" s="16"/>
      <c r="C567" s="13" t="str">
        <f aca="false">IFERROR(IF(B567="","",VLOOKUP(B567,Inventory!A:B,2,FALSE())),"")</f>
        <v/>
      </c>
      <c r="D567" s="16"/>
      <c r="E567" s="16"/>
      <c r="F567" s="15"/>
      <c r="G567" s="15"/>
      <c r="H567" s="17" t="str">
        <f aca="true">IF(AND(A567&lt;&gt;"",G567="",F567&lt;&gt;"",F567&lt;TODAY()),TODAY()-F567,"")</f>
        <v/>
      </c>
      <c r="I567" s="16"/>
    </row>
    <row r="568" customFormat="false" ht="15" hidden="false" customHeight="false" outlineLevel="0" collapsed="false">
      <c r="A568" s="15"/>
      <c r="B568" s="16"/>
      <c r="C568" s="13" t="str">
        <f aca="false">IFERROR(IF(B568="","",VLOOKUP(B568,Inventory!A:B,2,FALSE())),"")</f>
        <v/>
      </c>
      <c r="D568" s="16"/>
      <c r="E568" s="16"/>
      <c r="F568" s="15"/>
      <c r="G568" s="15"/>
      <c r="H568" s="17" t="str">
        <f aca="true">IF(AND(A568&lt;&gt;"",G568="",F568&lt;&gt;"",F568&lt;TODAY()),TODAY()-F568,"")</f>
        <v/>
      </c>
      <c r="I568" s="16"/>
    </row>
    <row r="569" customFormat="false" ht="15" hidden="false" customHeight="false" outlineLevel="0" collapsed="false">
      <c r="A569" s="15"/>
      <c r="B569" s="16"/>
      <c r="C569" s="13" t="str">
        <f aca="false">IFERROR(IF(B569="","",VLOOKUP(B569,Inventory!A:B,2,FALSE())),"")</f>
        <v/>
      </c>
      <c r="D569" s="16"/>
      <c r="E569" s="16"/>
      <c r="F569" s="15"/>
      <c r="G569" s="15"/>
      <c r="H569" s="17" t="str">
        <f aca="true">IF(AND(A569&lt;&gt;"",G569="",F569&lt;&gt;"",F569&lt;TODAY()),TODAY()-F569,"")</f>
        <v/>
      </c>
      <c r="I569" s="16"/>
    </row>
    <row r="570" customFormat="false" ht="15" hidden="false" customHeight="false" outlineLevel="0" collapsed="false">
      <c r="A570" s="15"/>
      <c r="B570" s="16"/>
      <c r="C570" s="13" t="str">
        <f aca="false">IFERROR(IF(B570="","",VLOOKUP(B570,Inventory!A:B,2,FALSE())),"")</f>
        <v/>
      </c>
      <c r="D570" s="16"/>
      <c r="E570" s="16"/>
      <c r="F570" s="15"/>
      <c r="G570" s="15"/>
      <c r="H570" s="17" t="str">
        <f aca="true">IF(AND(A570&lt;&gt;"",G570="",F570&lt;&gt;"",F570&lt;TODAY()),TODAY()-F570,"")</f>
        <v/>
      </c>
      <c r="I570" s="16"/>
    </row>
    <row r="571" customFormat="false" ht="15" hidden="false" customHeight="false" outlineLevel="0" collapsed="false">
      <c r="A571" s="15"/>
      <c r="B571" s="16"/>
      <c r="C571" s="13" t="str">
        <f aca="false">IFERROR(IF(B571="","",VLOOKUP(B571,Inventory!A:B,2,FALSE())),"")</f>
        <v/>
      </c>
      <c r="D571" s="16"/>
      <c r="E571" s="16"/>
      <c r="F571" s="15"/>
      <c r="G571" s="15"/>
      <c r="H571" s="17" t="str">
        <f aca="true">IF(AND(A571&lt;&gt;"",G571="",F571&lt;&gt;"",F571&lt;TODAY()),TODAY()-F571,"")</f>
        <v/>
      </c>
      <c r="I571" s="16"/>
    </row>
    <row r="572" customFormat="false" ht="15" hidden="false" customHeight="false" outlineLevel="0" collapsed="false">
      <c r="A572" s="15"/>
      <c r="B572" s="16"/>
      <c r="C572" s="13" t="str">
        <f aca="false">IFERROR(IF(B572="","",VLOOKUP(B572,Inventory!A:B,2,FALSE())),"")</f>
        <v/>
      </c>
      <c r="D572" s="16"/>
      <c r="E572" s="16"/>
      <c r="F572" s="15"/>
      <c r="G572" s="15"/>
      <c r="H572" s="17" t="str">
        <f aca="true">IF(AND(A572&lt;&gt;"",G572="",F572&lt;&gt;"",F572&lt;TODAY()),TODAY()-F572,"")</f>
        <v/>
      </c>
      <c r="I572" s="16"/>
    </row>
    <row r="573" customFormat="false" ht="15" hidden="false" customHeight="false" outlineLevel="0" collapsed="false">
      <c r="A573" s="15"/>
      <c r="B573" s="16"/>
      <c r="C573" s="13" t="str">
        <f aca="false">IFERROR(IF(B573="","",VLOOKUP(B573,Inventory!A:B,2,FALSE())),"")</f>
        <v/>
      </c>
      <c r="D573" s="16"/>
      <c r="E573" s="16"/>
      <c r="F573" s="15"/>
      <c r="G573" s="15"/>
      <c r="H573" s="17" t="str">
        <f aca="true">IF(AND(A573&lt;&gt;"",G573="",F573&lt;&gt;"",F573&lt;TODAY()),TODAY()-F573,"")</f>
        <v/>
      </c>
      <c r="I573" s="16"/>
    </row>
    <row r="574" customFormat="false" ht="15" hidden="false" customHeight="false" outlineLevel="0" collapsed="false">
      <c r="A574" s="15"/>
      <c r="B574" s="16"/>
      <c r="C574" s="13" t="str">
        <f aca="false">IFERROR(IF(B574="","",VLOOKUP(B574,Inventory!A:B,2,FALSE())),"")</f>
        <v/>
      </c>
      <c r="D574" s="16"/>
      <c r="E574" s="16"/>
      <c r="F574" s="15"/>
      <c r="G574" s="15"/>
      <c r="H574" s="17" t="str">
        <f aca="true">IF(AND(A574&lt;&gt;"",G574="",F574&lt;&gt;"",F574&lt;TODAY()),TODAY()-F574,"")</f>
        <v/>
      </c>
      <c r="I574" s="16"/>
    </row>
    <row r="575" customFormat="false" ht="15" hidden="false" customHeight="false" outlineLevel="0" collapsed="false">
      <c r="A575" s="15"/>
      <c r="B575" s="16"/>
      <c r="C575" s="13" t="str">
        <f aca="false">IFERROR(IF(B575="","",VLOOKUP(B575,Inventory!A:B,2,FALSE())),"")</f>
        <v/>
      </c>
      <c r="D575" s="16"/>
      <c r="E575" s="16"/>
      <c r="F575" s="15"/>
      <c r="G575" s="15"/>
      <c r="H575" s="17" t="str">
        <f aca="true">IF(AND(A575&lt;&gt;"",G575="",F575&lt;&gt;"",F575&lt;TODAY()),TODAY()-F575,"")</f>
        <v/>
      </c>
      <c r="I575" s="16"/>
    </row>
    <row r="576" customFormat="false" ht="15" hidden="false" customHeight="false" outlineLevel="0" collapsed="false">
      <c r="A576" s="15"/>
      <c r="B576" s="16"/>
      <c r="C576" s="13" t="str">
        <f aca="false">IFERROR(IF(B576="","",VLOOKUP(B576,Inventory!A:B,2,FALSE())),"")</f>
        <v/>
      </c>
      <c r="D576" s="16"/>
      <c r="E576" s="16"/>
      <c r="F576" s="15"/>
      <c r="G576" s="15"/>
      <c r="H576" s="17" t="str">
        <f aca="true">IF(AND(A576&lt;&gt;"",G576="",F576&lt;&gt;"",F576&lt;TODAY()),TODAY()-F576,"")</f>
        <v/>
      </c>
      <c r="I576" s="16"/>
    </row>
    <row r="577" customFormat="false" ht="15" hidden="false" customHeight="false" outlineLevel="0" collapsed="false">
      <c r="A577" s="15"/>
      <c r="B577" s="16"/>
      <c r="C577" s="13" t="str">
        <f aca="false">IFERROR(IF(B577="","",VLOOKUP(B577,Inventory!A:B,2,FALSE())),"")</f>
        <v/>
      </c>
      <c r="D577" s="16"/>
      <c r="E577" s="16"/>
      <c r="F577" s="15"/>
      <c r="G577" s="15"/>
      <c r="H577" s="17" t="str">
        <f aca="true">IF(AND(A577&lt;&gt;"",G577="",F577&lt;&gt;"",F577&lt;TODAY()),TODAY()-F577,"")</f>
        <v/>
      </c>
      <c r="I577" s="16"/>
    </row>
    <row r="578" customFormat="false" ht="15" hidden="false" customHeight="false" outlineLevel="0" collapsed="false">
      <c r="A578" s="15"/>
      <c r="B578" s="16"/>
      <c r="C578" s="13" t="str">
        <f aca="false">IFERROR(IF(B578="","",VLOOKUP(B578,Inventory!A:B,2,FALSE())),"")</f>
        <v/>
      </c>
      <c r="D578" s="16"/>
      <c r="E578" s="16"/>
      <c r="F578" s="15"/>
      <c r="G578" s="15"/>
      <c r="H578" s="17" t="str">
        <f aca="true">IF(AND(A578&lt;&gt;"",G578="",F578&lt;&gt;"",F578&lt;TODAY()),TODAY()-F578,"")</f>
        <v/>
      </c>
      <c r="I578" s="16"/>
    </row>
    <row r="579" customFormat="false" ht="15" hidden="false" customHeight="false" outlineLevel="0" collapsed="false">
      <c r="A579" s="15"/>
      <c r="B579" s="16"/>
      <c r="C579" s="13" t="str">
        <f aca="false">IFERROR(IF(B579="","",VLOOKUP(B579,Inventory!A:B,2,FALSE())),"")</f>
        <v/>
      </c>
      <c r="D579" s="16"/>
      <c r="E579" s="16"/>
      <c r="F579" s="15"/>
      <c r="G579" s="15"/>
      <c r="H579" s="17" t="str">
        <f aca="true">IF(AND(A579&lt;&gt;"",G579="",F579&lt;&gt;"",F579&lt;TODAY()),TODAY()-F579,"")</f>
        <v/>
      </c>
      <c r="I579" s="16"/>
    </row>
    <row r="580" customFormat="false" ht="15" hidden="false" customHeight="false" outlineLevel="0" collapsed="false">
      <c r="A580" s="15"/>
      <c r="B580" s="16"/>
      <c r="C580" s="13" t="str">
        <f aca="false">IFERROR(IF(B580="","",VLOOKUP(B580,Inventory!A:B,2,FALSE())),"")</f>
        <v/>
      </c>
      <c r="D580" s="16"/>
      <c r="E580" s="16"/>
      <c r="F580" s="15"/>
      <c r="G580" s="15"/>
      <c r="H580" s="17" t="str">
        <f aca="true">IF(AND(A580&lt;&gt;"",G580="",F580&lt;&gt;"",F580&lt;TODAY()),TODAY()-F580,"")</f>
        <v/>
      </c>
      <c r="I580" s="16"/>
    </row>
    <row r="581" customFormat="false" ht="15" hidden="false" customHeight="false" outlineLevel="0" collapsed="false">
      <c r="A581" s="15"/>
      <c r="B581" s="16"/>
      <c r="C581" s="13" t="str">
        <f aca="false">IFERROR(IF(B581="","",VLOOKUP(B581,Inventory!A:B,2,FALSE())),"")</f>
        <v/>
      </c>
      <c r="D581" s="16"/>
      <c r="E581" s="16"/>
      <c r="F581" s="15"/>
      <c r="G581" s="15"/>
      <c r="H581" s="17" t="str">
        <f aca="true">IF(AND(A581&lt;&gt;"",G581="",F581&lt;&gt;"",F581&lt;TODAY()),TODAY()-F581,"")</f>
        <v/>
      </c>
      <c r="I581" s="16"/>
    </row>
    <row r="582" customFormat="false" ht="15" hidden="false" customHeight="false" outlineLevel="0" collapsed="false">
      <c r="A582" s="15"/>
      <c r="B582" s="16"/>
      <c r="C582" s="13" t="str">
        <f aca="false">IFERROR(IF(B582="","",VLOOKUP(B582,Inventory!A:B,2,FALSE())),"")</f>
        <v/>
      </c>
      <c r="D582" s="16"/>
      <c r="E582" s="16"/>
      <c r="F582" s="15"/>
      <c r="G582" s="15"/>
      <c r="H582" s="17" t="str">
        <f aca="true">IF(AND(A582&lt;&gt;"",G582="",F582&lt;&gt;"",F582&lt;TODAY()),TODAY()-F582,"")</f>
        <v/>
      </c>
      <c r="I582" s="16"/>
    </row>
    <row r="583" customFormat="false" ht="15" hidden="false" customHeight="false" outlineLevel="0" collapsed="false">
      <c r="A583" s="15"/>
      <c r="B583" s="16"/>
      <c r="C583" s="13" t="str">
        <f aca="false">IFERROR(IF(B583="","",VLOOKUP(B583,Inventory!A:B,2,FALSE())),"")</f>
        <v/>
      </c>
      <c r="D583" s="16"/>
      <c r="E583" s="16"/>
      <c r="F583" s="15"/>
      <c r="G583" s="15"/>
      <c r="H583" s="17" t="str">
        <f aca="true">IF(AND(A583&lt;&gt;"",G583="",F583&lt;&gt;"",F583&lt;TODAY()),TODAY()-F583,"")</f>
        <v/>
      </c>
      <c r="I583" s="16"/>
    </row>
    <row r="584" customFormat="false" ht="15" hidden="false" customHeight="false" outlineLevel="0" collapsed="false">
      <c r="A584" s="15"/>
      <c r="B584" s="16"/>
      <c r="C584" s="13" t="str">
        <f aca="false">IFERROR(IF(B584="","",VLOOKUP(B584,Inventory!A:B,2,FALSE())),"")</f>
        <v/>
      </c>
      <c r="D584" s="16"/>
      <c r="E584" s="16"/>
      <c r="F584" s="15"/>
      <c r="G584" s="15"/>
      <c r="H584" s="17" t="str">
        <f aca="true">IF(AND(A584&lt;&gt;"",G584="",F584&lt;&gt;"",F584&lt;TODAY()),TODAY()-F584,"")</f>
        <v/>
      </c>
      <c r="I584" s="16"/>
    </row>
    <row r="585" customFormat="false" ht="15" hidden="false" customHeight="false" outlineLevel="0" collapsed="false">
      <c r="A585" s="15"/>
      <c r="B585" s="16"/>
      <c r="C585" s="13" t="str">
        <f aca="false">IFERROR(IF(B585="","",VLOOKUP(B585,Inventory!A:B,2,FALSE())),"")</f>
        <v/>
      </c>
      <c r="D585" s="16"/>
      <c r="E585" s="16"/>
      <c r="F585" s="15"/>
      <c r="G585" s="15"/>
      <c r="H585" s="17" t="str">
        <f aca="true">IF(AND(A585&lt;&gt;"",G585="",F585&lt;&gt;"",F585&lt;TODAY()),TODAY()-F585,"")</f>
        <v/>
      </c>
      <c r="I585" s="16"/>
    </row>
    <row r="586" customFormat="false" ht="15" hidden="false" customHeight="false" outlineLevel="0" collapsed="false">
      <c r="A586" s="15"/>
      <c r="B586" s="16"/>
      <c r="C586" s="13" t="str">
        <f aca="false">IFERROR(IF(B586="","",VLOOKUP(B586,Inventory!A:B,2,FALSE())),"")</f>
        <v/>
      </c>
      <c r="D586" s="16"/>
      <c r="E586" s="16"/>
      <c r="F586" s="15"/>
      <c r="G586" s="15"/>
      <c r="H586" s="17" t="str">
        <f aca="true">IF(AND(A586&lt;&gt;"",G586="",F586&lt;&gt;"",F586&lt;TODAY()),TODAY()-F586,"")</f>
        <v/>
      </c>
      <c r="I586" s="16"/>
    </row>
    <row r="587" customFormat="false" ht="15" hidden="false" customHeight="false" outlineLevel="0" collapsed="false">
      <c r="A587" s="15"/>
      <c r="B587" s="16"/>
      <c r="C587" s="13" t="str">
        <f aca="false">IFERROR(IF(B587="","",VLOOKUP(B587,Inventory!A:B,2,FALSE())),"")</f>
        <v/>
      </c>
      <c r="D587" s="16"/>
      <c r="E587" s="16"/>
      <c r="F587" s="15"/>
      <c r="G587" s="15"/>
      <c r="H587" s="17" t="str">
        <f aca="true">IF(AND(A587&lt;&gt;"",G587="",F587&lt;&gt;"",F587&lt;TODAY()),TODAY()-F587,"")</f>
        <v/>
      </c>
      <c r="I587" s="16"/>
    </row>
    <row r="588" customFormat="false" ht="15" hidden="false" customHeight="false" outlineLevel="0" collapsed="false">
      <c r="A588" s="15"/>
      <c r="B588" s="16"/>
      <c r="C588" s="13" t="str">
        <f aca="false">IFERROR(IF(B588="","",VLOOKUP(B588,Inventory!A:B,2,FALSE())),"")</f>
        <v/>
      </c>
      <c r="D588" s="16"/>
      <c r="E588" s="16"/>
      <c r="F588" s="15"/>
      <c r="G588" s="15"/>
      <c r="H588" s="17" t="str">
        <f aca="true">IF(AND(A588&lt;&gt;"",G588="",F588&lt;&gt;"",F588&lt;TODAY()),TODAY()-F588,"")</f>
        <v/>
      </c>
      <c r="I588" s="16"/>
    </row>
    <row r="589" customFormat="false" ht="15" hidden="false" customHeight="false" outlineLevel="0" collapsed="false">
      <c r="A589" s="15"/>
      <c r="B589" s="16"/>
      <c r="C589" s="13" t="str">
        <f aca="false">IFERROR(IF(B589="","",VLOOKUP(B589,Inventory!A:B,2,FALSE())),"")</f>
        <v/>
      </c>
      <c r="D589" s="16"/>
      <c r="E589" s="16"/>
      <c r="F589" s="15"/>
      <c r="G589" s="15"/>
      <c r="H589" s="17" t="str">
        <f aca="true">IF(AND(A589&lt;&gt;"",G589="",F589&lt;&gt;"",F589&lt;TODAY()),TODAY()-F589,"")</f>
        <v/>
      </c>
      <c r="I589" s="16"/>
    </row>
    <row r="590" customFormat="false" ht="15" hidden="false" customHeight="false" outlineLevel="0" collapsed="false">
      <c r="A590" s="15"/>
      <c r="B590" s="16"/>
      <c r="C590" s="13" t="str">
        <f aca="false">IFERROR(IF(B590="","",VLOOKUP(B590,Inventory!A:B,2,FALSE())),"")</f>
        <v/>
      </c>
      <c r="D590" s="16"/>
      <c r="E590" s="16"/>
      <c r="F590" s="15"/>
      <c r="G590" s="15"/>
      <c r="H590" s="17" t="str">
        <f aca="true">IF(AND(A590&lt;&gt;"",G590="",F590&lt;&gt;"",F590&lt;TODAY()),TODAY()-F590,"")</f>
        <v/>
      </c>
      <c r="I590" s="16"/>
    </row>
    <row r="591" customFormat="false" ht="15" hidden="false" customHeight="false" outlineLevel="0" collapsed="false">
      <c r="A591" s="15"/>
      <c r="B591" s="16"/>
      <c r="C591" s="13" t="str">
        <f aca="false">IFERROR(IF(B591="","",VLOOKUP(B591,Inventory!A:B,2,FALSE())),"")</f>
        <v/>
      </c>
      <c r="D591" s="16"/>
      <c r="E591" s="16"/>
      <c r="F591" s="15"/>
      <c r="G591" s="15"/>
      <c r="H591" s="17" t="str">
        <f aca="true">IF(AND(A591&lt;&gt;"",G591="",F591&lt;&gt;"",F591&lt;TODAY()),TODAY()-F591,"")</f>
        <v/>
      </c>
      <c r="I591" s="16"/>
    </row>
    <row r="592" customFormat="false" ht="15" hidden="false" customHeight="false" outlineLevel="0" collapsed="false">
      <c r="A592" s="15"/>
      <c r="B592" s="16"/>
      <c r="C592" s="13" t="str">
        <f aca="false">IFERROR(IF(B592="","",VLOOKUP(B592,Inventory!A:B,2,FALSE())),"")</f>
        <v/>
      </c>
      <c r="D592" s="16"/>
      <c r="E592" s="16"/>
      <c r="F592" s="15"/>
      <c r="G592" s="15"/>
      <c r="H592" s="17" t="str">
        <f aca="true">IF(AND(A592&lt;&gt;"",G592="",F592&lt;&gt;"",F592&lt;TODAY()),TODAY()-F592,"")</f>
        <v/>
      </c>
      <c r="I592" s="16"/>
    </row>
    <row r="593" customFormat="false" ht="15" hidden="false" customHeight="false" outlineLevel="0" collapsed="false">
      <c r="A593" s="15"/>
      <c r="B593" s="16"/>
      <c r="C593" s="13" t="str">
        <f aca="false">IFERROR(IF(B593="","",VLOOKUP(B593,Inventory!A:B,2,FALSE())),"")</f>
        <v/>
      </c>
      <c r="D593" s="16"/>
      <c r="E593" s="16"/>
      <c r="F593" s="15"/>
      <c r="G593" s="15"/>
      <c r="H593" s="17" t="str">
        <f aca="true">IF(AND(A593&lt;&gt;"",G593="",F593&lt;&gt;"",F593&lt;TODAY()),TODAY()-F593,"")</f>
        <v/>
      </c>
      <c r="I593" s="16"/>
    </row>
    <row r="594" customFormat="false" ht="15" hidden="false" customHeight="false" outlineLevel="0" collapsed="false">
      <c r="A594" s="15"/>
      <c r="B594" s="16"/>
      <c r="C594" s="13" t="str">
        <f aca="false">IFERROR(IF(B594="","",VLOOKUP(B594,Inventory!A:B,2,FALSE())),"")</f>
        <v/>
      </c>
      <c r="D594" s="16"/>
      <c r="E594" s="16"/>
      <c r="F594" s="15"/>
      <c r="G594" s="15"/>
      <c r="H594" s="17" t="str">
        <f aca="true">IF(AND(A594&lt;&gt;"",G594="",F594&lt;&gt;"",F594&lt;TODAY()),TODAY()-F594,"")</f>
        <v/>
      </c>
      <c r="I594" s="16"/>
    </row>
    <row r="595" customFormat="false" ht="15" hidden="false" customHeight="false" outlineLevel="0" collapsed="false">
      <c r="A595" s="15"/>
      <c r="B595" s="16"/>
      <c r="C595" s="13" t="str">
        <f aca="false">IFERROR(IF(B595="","",VLOOKUP(B595,Inventory!A:B,2,FALSE())),"")</f>
        <v/>
      </c>
      <c r="D595" s="16"/>
      <c r="E595" s="16"/>
      <c r="F595" s="15"/>
      <c r="G595" s="15"/>
      <c r="H595" s="17" t="str">
        <f aca="true">IF(AND(A595&lt;&gt;"",G595="",F595&lt;&gt;"",F595&lt;TODAY()),TODAY()-F595,"")</f>
        <v/>
      </c>
      <c r="I595" s="16"/>
    </row>
    <row r="596" customFormat="false" ht="15" hidden="false" customHeight="false" outlineLevel="0" collapsed="false">
      <c r="A596" s="15"/>
      <c r="B596" s="16"/>
      <c r="C596" s="13" t="str">
        <f aca="false">IFERROR(IF(B596="","",VLOOKUP(B596,Inventory!A:B,2,FALSE())),"")</f>
        <v/>
      </c>
      <c r="D596" s="16"/>
      <c r="E596" s="16"/>
      <c r="F596" s="15"/>
      <c r="G596" s="15"/>
      <c r="H596" s="17" t="str">
        <f aca="true">IF(AND(A596&lt;&gt;"",G596="",F596&lt;&gt;"",F596&lt;TODAY()),TODAY()-F596,"")</f>
        <v/>
      </c>
      <c r="I596" s="16"/>
    </row>
    <row r="597" customFormat="false" ht="15" hidden="false" customHeight="false" outlineLevel="0" collapsed="false">
      <c r="A597" s="15"/>
      <c r="B597" s="16"/>
      <c r="C597" s="13" t="str">
        <f aca="false">IFERROR(IF(B597="","",VLOOKUP(B597,Inventory!A:B,2,FALSE())),"")</f>
        <v/>
      </c>
      <c r="D597" s="16"/>
      <c r="E597" s="16"/>
      <c r="F597" s="15"/>
      <c r="G597" s="15"/>
      <c r="H597" s="17" t="str">
        <f aca="true">IF(AND(A597&lt;&gt;"",G597="",F597&lt;&gt;"",F597&lt;TODAY()),TODAY()-F597,"")</f>
        <v/>
      </c>
      <c r="I597" s="16"/>
    </row>
    <row r="598" customFormat="false" ht="15" hidden="false" customHeight="false" outlineLevel="0" collapsed="false">
      <c r="A598" s="15"/>
      <c r="B598" s="16"/>
      <c r="C598" s="13" t="str">
        <f aca="false">IFERROR(IF(B598="","",VLOOKUP(B598,Inventory!A:B,2,FALSE())),"")</f>
        <v/>
      </c>
      <c r="D598" s="16"/>
      <c r="E598" s="16"/>
      <c r="F598" s="15"/>
      <c r="G598" s="15"/>
      <c r="H598" s="17" t="str">
        <f aca="true">IF(AND(A598&lt;&gt;"",G598="",F598&lt;&gt;"",F598&lt;TODAY()),TODAY()-F598,"")</f>
        <v/>
      </c>
      <c r="I598" s="16"/>
    </row>
    <row r="599" customFormat="false" ht="15" hidden="false" customHeight="false" outlineLevel="0" collapsed="false">
      <c r="A599" s="15"/>
      <c r="B599" s="16"/>
      <c r="C599" s="13" t="str">
        <f aca="false">IFERROR(IF(B599="","",VLOOKUP(B599,Inventory!A:B,2,FALSE())),"")</f>
        <v/>
      </c>
      <c r="D599" s="16"/>
      <c r="E599" s="16"/>
      <c r="F599" s="15"/>
      <c r="G599" s="15"/>
      <c r="H599" s="17" t="str">
        <f aca="true">IF(AND(A599&lt;&gt;"",G599="",F599&lt;&gt;"",F599&lt;TODAY()),TODAY()-F599,"")</f>
        <v/>
      </c>
      <c r="I599" s="16"/>
    </row>
    <row r="600" customFormat="false" ht="15" hidden="false" customHeight="false" outlineLevel="0" collapsed="false">
      <c r="A600" s="15"/>
      <c r="B600" s="16"/>
      <c r="C600" s="13" t="str">
        <f aca="false">IFERROR(IF(B600="","",VLOOKUP(B600,Inventory!A:B,2,FALSE())),"")</f>
        <v/>
      </c>
      <c r="D600" s="16"/>
      <c r="E600" s="16"/>
      <c r="F600" s="15"/>
      <c r="G600" s="15"/>
      <c r="H600" s="17" t="str">
        <f aca="true">IF(AND(A600&lt;&gt;"",G600="",F600&lt;&gt;"",F600&lt;TODAY()),TODAY()-F600,"")</f>
        <v/>
      </c>
      <c r="I600" s="16"/>
    </row>
    <row r="601" customFormat="false" ht="15" hidden="false" customHeight="false" outlineLevel="0" collapsed="false">
      <c r="A601" s="15"/>
      <c r="B601" s="16"/>
      <c r="C601" s="13" t="str">
        <f aca="false">IFERROR(IF(B601="","",VLOOKUP(B601,Inventory!A:B,2,FALSE())),"")</f>
        <v/>
      </c>
      <c r="D601" s="16"/>
      <c r="E601" s="16"/>
      <c r="F601" s="15"/>
      <c r="G601" s="15"/>
      <c r="H601" s="17" t="str">
        <f aca="true">IF(AND(A601&lt;&gt;"",G601="",F601&lt;&gt;"",F601&lt;TODAY()),TODAY()-F601,"")</f>
        <v/>
      </c>
      <c r="I601" s="16"/>
    </row>
    <row r="602" customFormat="false" ht="15" hidden="false" customHeight="false" outlineLevel="0" collapsed="false">
      <c r="A602" s="15"/>
      <c r="B602" s="16"/>
      <c r="C602" s="13" t="str">
        <f aca="false">IFERROR(IF(B602="","",VLOOKUP(B602,Inventory!A:B,2,FALSE())),"")</f>
        <v/>
      </c>
      <c r="D602" s="16"/>
      <c r="E602" s="16"/>
      <c r="F602" s="15"/>
      <c r="G602" s="15"/>
      <c r="H602" s="17" t="str">
        <f aca="true">IF(AND(A602&lt;&gt;"",G602="",F602&lt;&gt;"",F602&lt;TODAY()),TODAY()-F602,"")</f>
        <v/>
      </c>
      <c r="I602" s="16"/>
    </row>
    <row r="603" customFormat="false" ht="15" hidden="false" customHeight="false" outlineLevel="0" collapsed="false">
      <c r="A603" s="15"/>
      <c r="B603" s="16"/>
      <c r="C603" s="13" t="str">
        <f aca="false">IFERROR(IF(B603="","",VLOOKUP(B603,Inventory!A:B,2,FALSE())),"")</f>
        <v/>
      </c>
      <c r="D603" s="16"/>
      <c r="E603" s="16"/>
      <c r="F603" s="15"/>
      <c r="G603" s="15"/>
      <c r="H603" s="17" t="str">
        <f aca="true">IF(AND(A603&lt;&gt;"",G603="",F603&lt;&gt;"",F603&lt;TODAY()),TODAY()-F603,"")</f>
        <v/>
      </c>
      <c r="I603" s="16"/>
    </row>
    <row r="604" customFormat="false" ht="15" hidden="false" customHeight="false" outlineLevel="0" collapsed="false">
      <c r="A604" s="15"/>
      <c r="B604" s="16"/>
      <c r="C604" s="13" t="str">
        <f aca="false">IFERROR(IF(B604="","",VLOOKUP(B604,Inventory!A:B,2,FALSE())),"")</f>
        <v/>
      </c>
      <c r="D604" s="16"/>
      <c r="E604" s="16"/>
      <c r="F604" s="15"/>
      <c r="G604" s="15"/>
      <c r="H604" s="17" t="str">
        <f aca="true">IF(AND(A604&lt;&gt;"",G604="",F604&lt;&gt;"",F604&lt;TODAY()),TODAY()-F604,"")</f>
        <v/>
      </c>
      <c r="I604" s="16"/>
    </row>
    <row r="605" customFormat="false" ht="15" hidden="false" customHeight="false" outlineLevel="0" collapsed="false">
      <c r="A605" s="15"/>
      <c r="B605" s="16"/>
      <c r="C605" s="13" t="str">
        <f aca="false">IFERROR(IF(B605="","",VLOOKUP(B605,Inventory!A:B,2,FALSE())),"")</f>
        <v/>
      </c>
      <c r="D605" s="16"/>
      <c r="E605" s="16"/>
      <c r="F605" s="15"/>
      <c r="G605" s="15"/>
      <c r="H605" s="17" t="str">
        <f aca="true">IF(AND(A605&lt;&gt;"",G605="",F605&lt;&gt;"",F605&lt;TODAY()),TODAY()-F605,"")</f>
        <v/>
      </c>
      <c r="I605" s="16"/>
    </row>
    <row r="606" customFormat="false" ht="15" hidden="false" customHeight="false" outlineLevel="0" collapsed="false">
      <c r="A606" s="15"/>
      <c r="B606" s="16"/>
      <c r="C606" s="13" t="str">
        <f aca="false">IFERROR(IF(B606="","",VLOOKUP(B606,Inventory!A:B,2,FALSE())),"")</f>
        <v/>
      </c>
      <c r="D606" s="16"/>
      <c r="E606" s="16"/>
      <c r="F606" s="15"/>
      <c r="G606" s="15"/>
      <c r="H606" s="17" t="str">
        <f aca="true">IF(AND(A606&lt;&gt;"",G606="",F606&lt;&gt;"",F606&lt;TODAY()),TODAY()-F606,"")</f>
        <v/>
      </c>
      <c r="I606" s="16"/>
    </row>
    <row r="607" customFormat="false" ht="15" hidden="false" customHeight="false" outlineLevel="0" collapsed="false">
      <c r="A607" s="15"/>
      <c r="B607" s="16"/>
      <c r="C607" s="13" t="str">
        <f aca="false">IFERROR(IF(B607="","",VLOOKUP(B607,Inventory!A:B,2,FALSE())),"")</f>
        <v/>
      </c>
      <c r="D607" s="16"/>
      <c r="E607" s="16"/>
      <c r="F607" s="15"/>
      <c r="G607" s="15"/>
      <c r="H607" s="17" t="str">
        <f aca="true">IF(AND(A607&lt;&gt;"",G607="",F607&lt;&gt;"",F607&lt;TODAY()),TODAY()-F607,"")</f>
        <v/>
      </c>
      <c r="I607" s="16"/>
    </row>
    <row r="608" customFormat="false" ht="15" hidden="false" customHeight="false" outlineLevel="0" collapsed="false">
      <c r="A608" s="15"/>
      <c r="B608" s="16"/>
      <c r="C608" s="13" t="str">
        <f aca="false">IFERROR(IF(B608="","",VLOOKUP(B608,Inventory!A:B,2,FALSE())),"")</f>
        <v/>
      </c>
      <c r="D608" s="16"/>
      <c r="E608" s="16"/>
      <c r="F608" s="15"/>
      <c r="G608" s="15"/>
      <c r="H608" s="17" t="str">
        <f aca="true">IF(AND(A608&lt;&gt;"",G608="",F608&lt;&gt;"",F608&lt;TODAY()),TODAY()-F608,"")</f>
        <v/>
      </c>
      <c r="I608" s="16"/>
    </row>
    <row r="609" customFormat="false" ht="15" hidden="false" customHeight="false" outlineLevel="0" collapsed="false">
      <c r="A609" s="15"/>
      <c r="B609" s="16"/>
      <c r="C609" s="13" t="str">
        <f aca="false">IFERROR(IF(B609="","",VLOOKUP(B609,Inventory!A:B,2,FALSE())),"")</f>
        <v/>
      </c>
      <c r="D609" s="16"/>
      <c r="E609" s="16"/>
      <c r="F609" s="15"/>
      <c r="G609" s="15"/>
      <c r="H609" s="17" t="str">
        <f aca="true">IF(AND(A609&lt;&gt;"",G609="",F609&lt;&gt;"",F609&lt;TODAY()),TODAY()-F609,"")</f>
        <v/>
      </c>
      <c r="I609" s="16"/>
    </row>
    <row r="610" customFormat="false" ht="15" hidden="false" customHeight="false" outlineLevel="0" collapsed="false">
      <c r="A610" s="15"/>
      <c r="B610" s="16"/>
      <c r="C610" s="13" t="str">
        <f aca="false">IFERROR(IF(B610="","",VLOOKUP(B610,Inventory!A:B,2,FALSE())),"")</f>
        <v/>
      </c>
      <c r="D610" s="16"/>
      <c r="E610" s="16"/>
      <c r="F610" s="15"/>
      <c r="G610" s="15"/>
      <c r="H610" s="17" t="str">
        <f aca="true">IF(AND(A610&lt;&gt;"",G610="",F610&lt;&gt;"",F610&lt;TODAY()),TODAY()-F610,"")</f>
        <v/>
      </c>
      <c r="I610" s="16"/>
    </row>
    <row r="611" customFormat="false" ht="15" hidden="false" customHeight="false" outlineLevel="0" collapsed="false">
      <c r="A611" s="15"/>
      <c r="B611" s="16"/>
      <c r="C611" s="13" t="str">
        <f aca="false">IFERROR(IF(B611="","",VLOOKUP(B611,Inventory!A:B,2,FALSE())),"")</f>
        <v/>
      </c>
      <c r="D611" s="16"/>
      <c r="E611" s="16"/>
      <c r="F611" s="15"/>
      <c r="G611" s="15"/>
      <c r="H611" s="17" t="str">
        <f aca="true">IF(AND(A611&lt;&gt;"",G611="",F611&lt;&gt;"",F611&lt;TODAY()),TODAY()-F611,"")</f>
        <v/>
      </c>
      <c r="I611" s="16"/>
    </row>
    <row r="612" customFormat="false" ht="15" hidden="false" customHeight="false" outlineLevel="0" collapsed="false">
      <c r="A612" s="15"/>
      <c r="B612" s="16"/>
      <c r="C612" s="13" t="str">
        <f aca="false">IFERROR(IF(B612="","",VLOOKUP(B612,Inventory!A:B,2,FALSE())),"")</f>
        <v/>
      </c>
      <c r="D612" s="16"/>
      <c r="E612" s="16"/>
      <c r="F612" s="15"/>
      <c r="G612" s="15"/>
      <c r="H612" s="17" t="str">
        <f aca="true">IF(AND(A612&lt;&gt;"",G612="",F612&lt;&gt;"",F612&lt;TODAY()),TODAY()-F612,"")</f>
        <v/>
      </c>
      <c r="I612" s="16"/>
    </row>
    <row r="613" customFormat="false" ht="15" hidden="false" customHeight="false" outlineLevel="0" collapsed="false">
      <c r="A613" s="15"/>
      <c r="B613" s="16"/>
      <c r="C613" s="13" t="str">
        <f aca="false">IFERROR(IF(B613="","",VLOOKUP(B613,Inventory!A:B,2,FALSE())),"")</f>
        <v/>
      </c>
      <c r="D613" s="16"/>
      <c r="E613" s="16"/>
      <c r="F613" s="15"/>
      <c r="G613" s="15"/>
      <c r="H613" s="17" t="str">
        <f aca="true">IF(AND(A613&lt;&gt;"",G613="",F613&lt;&gt;"",F613&lt;TODAY()),TODAY()-F613,"")</f>
        <v/>
      </c>
      <c r="I613" s="16"/>
    </row>
    <row r="614" customFormat="false" ht="15" hidden="false" customHeight="false" outlineLevel="0" collapsed="false">
      <c r="A614" s="15"/>
      <c r="B614" s="16"/>
      <c r="C614" s="13" t="str">
        <f aca="false">IFERROR(IF(B614="","",VLOOKUP(B614,Inventory!A:B,2,FALSE())),"")</f>
        <v/>
      </c>
      <c r="D614" s="16"/>
      <c r="E614" s="16"/>
      <c r="F614" s="15"/>
      <c r="G614" s="15"/>
      <c r="H614" s="17" t="str">
        <f aca="true">IF(AND(A614&lt;&gt;"",G614="",F614&lt;&gt;"",F614&lt;TODAY()),TODAY()-F614,"")</f>
        <v/>
      </c>
      <c r="I614" s="16"/>
    </row>
    <row r="615" customFormat="false" ht="15" hidden="false" customHeight="false" outlineLevel="0" collapsed="false">
      <c r="A615" s="15"/>
      <c r="B615" s="16"/>
      <c r="C615" s="13" t="str">
        <f aca="false">IFERROR(IF(B615="","",VLOOKUP(B615,Inventory!A:B,2,FALSE())),"")</f>
        <v/>
      </c>
      <c r="D615" s="16"/>
      <c r="E615" s="16"/>
      <c r="F615" s="15"/>
      <c r="G615" s="15"/>
      <c r="H615" s="17" t="str">
        <f aca="true">IF(AND(A615&lt;&gt;"",G615="",F615&lt;&gt;"",F615&lt;TODAY()),TODAY()-F615,"")</f>
        <v/>
      </c>
      <c r="I615" s="16"/>
    </row>
    <row r="616" customFormat="false" ht="15" hidden="false" customHeight="false" outlineLevel="0" collapsed="false">
      <c r="A616" s="15"/>
      <c r="B616" s="16"/>
      <c r="C616" s="13" t="str">
        <f aca="false">IFERROR(IF(B616="","",VLOOKUP(B616,Inventory!A:B,2,FALSE())),"")</f>
        <v/>
      </c>
      <c r="D616" s="16"/>
      <c r="E616" s="16"/>
      <c r="F616" s="15"/>
      <c r="G616" s="15"/>
      <c r="H616" s="17" t="str">
        <f aca="true">IF(AND(A616&lt;&gt;"",G616="",F616&lt;&gt;"",F616&lt;TODAY()),TODAY()-F616,"")</f>
        <v/>
      </c>
      <c r="I616" s="16"/>
    </row>
    <row r="617" customFormat="false" ht="15" hidden="false" customHeight="false" outlineLevel="0" collapsed="false">
      <c r="A617" s="15"/>
      <c r="B617" s="16"/>
      <c r="C617" s="13" t="str">
        <f aca="false">IFERROR(IF(B617="","",VLOOKUP(B617,Inventory!A:B,2,FALSE())),"")</f>
        <v/>
      </c>
      <c r="D617" s="16"/>
      <c r="E617" s="16"/>
      <c r="F617" s="15"/>
      <c r="G617" s="15"/>
      <c r="H617" s="17" t="str">
        <f aca="true">IF(AND(A617&lt;&gt;"",G617="",F617&lt;&gt;"",F617&lt;TODAY()),TODAY()-F617,"")</f>
        <v/>
      </c>
      <c r="I617" s="16"/>
    </row>
    <row r="618" customFormat="false" ht="15" hidden="false" customHeight="false" outlineLevel="0" collapsed="false">
      <c r="A618" s="15"/>
      <c r="B618" s="16"/>
      <c r="C618" s="13" t="str">
        <f aca="false">IFERROR(IF(B618="","",VLOOKUP(B618,Inventory!A:B,2,FALSE())),"")</f>
        <v/>
      </c>
      <c r="D618" s="16"/>
      <c r="E618" s="16"/>
      <c r="F618" s="15"/>
      <c r="G618" s="15"/>
      <c r="H618" s="17" t="str">
        <f aca="true">IF(AND(A618&lt;&gt;"",G618="",F618&lt;&gt;"",F618&lt;TODAY()),TODAY()-F618,"")</f>
        <v/>
      </c>
      <c r="I618" s="16"/>
    </row>
    <row r="619" customFormat="false" ht="15" hidden="false" customHeight="false" outlineLevel="0" collapsed="false">
      <c r="A619" s="15"/>
      <c r="B619" s="16"/>
      <c r="C619" s="13" t="str">
        <f aca="false">IFERROR(IF(B619="","",VLOOKUP(B619,Inventory!A:B,2,FALSE())),"")</f>
        <v/>
      </c>
      <c r="D619" s="16"/>
      <c r="E619" s="16"/>
      <c r="F619" s="15"/>
      <c r="G619" s="15"/>
      <c r="H619" s="17" t="str">
        <f aca="true">IF(AND(A619&lt;&gt;"",G619="",F619&lt;&gt;"",F619&lt;TODAY()),TODAY()-F619,"")</f>
        <v/>
      </c>
      <c r="I619" s="16"/>
    </row>
    <row r="620" customFormat="false" ht="15" hidden="false" customHeight="false" outlineLevel="0" collapsed="false">
      <c r="A620" s="15"/>
      <c r="B620" s="16"/>
      <c r="C620" s="13" t="str">
        <f aca="false">IFERROR(IF(B620="","",VLOOKUP(B620,Inventory!A:B,2,FALSE())),"")</f>
        <v/>
      </c>
      <c r="D620" s="16"/>
      <c r="E620" s="16"/>
      <c r="F620" s="15"/>
      <c r="G620" s="15"/>
      <c r="H620" s="17" t="str">
        <f aca="true">IF(AND(A620&lt;&gt;"",G620="",F620&lt;&gt;"",F620&lt;TODAY()),TODAY()-F620,"")</f>
        <v/>
      </c>
      <c r="I620" s="16"/>
    </row>
    <row r="621" customFormat="false" ht="15" hidden="false" customHeight="false" outlineLevel="0" collapsed="false">
      <c r="A621" s="15"/>
      <c r="B621" s="16"/>
      <c r="C621" s="13" t="str">
        <f aca="false">IFERROR(IF(B621="","",VLOOKUP(B621,Inventory!A:B,2,FALSE())),"")</f>
        <v/>
      </c>
      <c r="D621" s="16"/>
      <c r="E621" s="16"/>
      <c r="F621" s="15"/>
      <c r="G621" s="15"/>
      <c r="H621" s="17" t="str">
        <f aca="true">IF(AND(A621&lt;&gt;"",G621="",F621&lt;&gt;"",F621&lt;TODAY()),TODAY()-F621,"")</f>
        <v/>
      </c>
      <c r="I621" s="16"/>
    </row>
    <row r="622" customFormat="false" ht="15" hidden="false" customHeight="false" outlineLevel="0" collapsed="false">
      <c r="A622" s="15"/>
      <c r="B622" s="16"/>
      <c r="C622" s="13" t="str">
        <f aca="false">IFERROR(IF(B622="","",VLOOKUP(B622,Inventory!A:B,2,FALSE())),"")</f>
        <v/>
      </c>
      <c r="D622" s="16"/>
      <c r="E622" s="16"/>
      <c r="F622" s="15"/>
      <c r="G622" s="15"/>
      <c r="H622" s="17" t="str">
        <f aca="true">IF(AND(A622&lt;&gt;"",G622="",F622&lt;&gt;"",F622&lt;TODAY()),TODAY()-F622,"")</f>
        <v/>
      </c>
      <c r="I622" s="16"/>
    </row>
    <row r="623" customFormat="false" ht="15" hidden="false" customHeight="false" outlineLevel="0" collapsed="false">
      <c r="A623" s="15"/>
      <c r="B623" s="16"/>
      <c r="C623" s="13" t="str">
        <f aca="false">IFERROR(IF(B623="","",VLOOKUP(B623,Inventory!A:B,2,FALSE())),"")</f>
        <v/>
      </c>
      <c r="D623" s="16"/>
      <c r="E623" s="16"/>
      <c r="F623" s="15"/>
      <c r="G623" s="15"/>
      <c r="H623" s="17" t="str">
        <f aca="true">IF(AND(A623&lt;&gt;"",G623="",F623&lt;&gt;"",F623&lt;TODAY()),TODAY()-F623,"")</f>
        <v/>
      </c>
      <c r="I623" s="16"/>
    </row>
    <row r="624" customFormat="false" ht="15" hidden="false" customHeight="false" outlineLevel="0" collapsed="false">
      <c r="A624" s="15"/>
      <c r="B624" s="16"/>
      <c r="C624" s="13" t="str">
        <f aca="false">IFERROR(IF(B624="","",VLOOKUP(B624,Inventory!A:B,2,FALSE())),"")</f>
        <v/>
      </c>
      <c r="D624" s="16"/>
      <c r="E624" s="16"/>
      <c r="F624" s="15"/>
      <c r="G624" s="15"/>
      <c r="H624" s="17" t="str">
        <f aca="true">IF(AND(A624&lt;&gt;"",G624="",F624&lt;&gt;"",F624&lt;TODAY()),TODAY()-F624,"")</f>
        <v/>
      </c>
      <c r="I624" s="16"/>
    </row>
    <row r="625" customFormat="false" ht="15" hidden="false" customHeight="false" outlineLevel="0" collapsed="false">
      <c r="A625" s="15"/>
      <c r="B625" s="16"/>
      <c r="C625" s="13" t="str">
        <f aca="false">IFERROR(IF(B625="","",VLOOKUP(B625,Inventory!A:B,2,FALSE())),"")</f>
        <v/>
      </c>
      <c r="D625" s="16"/>
      <c r="E625" s="16"/>
      <c r="F625" s="15"/>
      <c r="G625" s="15"/>
      <c r="H625" s="17" t="str">
        <f aca="true">IF(AND(A625&lt;&gt;"",G625="",F625&lt;&gt;"",F625&lt;TODAY()),TODAY()-F625,"")</f>
        <v/>
      </c>
      <c r="I625" s="16"/>
    </row>
    <row r="626" customFormat="false" ht="15" hidden="false" customHeight="false" outlineLevel="0" collapsed="false">
      <c r="A626" s="15"/>
      <c r="B626" s="16"/>
      <c r="C626" s="13" t="str">
        <f aca="false">IFERROR(IF(B626="","",VLOOKUP(B626,Inventory!A:B,2,FALSE())),"")</f>
        <v/>
      </c>
      <c r="D626" s="16"/>
      <c r="E626" s="16"/>
      <c r="F626" s="15"/>
      <c r="G626" s="15"/>
      <c r="H626" s="17" t="str">
        <f aca="true">IF(AND(A626&lt;&gt;"",G626="",F626&lt;&gt;"",F626&lt;TODAY()),TODAY()-F626,"")</f>
        <v/>
      </c>
      <c r="I626" s="16"/>
    </row>
    <row r="627" customFormat="false" ht="15" hidden="false" customHeight="false" outlineLevel="0" collapsed="false">
      <c r="A627" s="15"/>
      <c r="B627" s="16"/>
      <c r="C627" s="13" t="str">
        <f aca="false">IFERROR(IF(B627="","",VLOOKUP(B627,Inventory!A:B,2,FALSE())),"")</f>
        <v/>
      </c>
      <c r="D627" s="16"/>
      <c r="E627" s="16"/>
      <c r="F627" s="15"/>
      <c r="G627" s="15"/>
      <c r="H627" s="17" t="str">
        <f aca="true">IF(AND(A627&lt;&gt;"",G627="",F627&lt;&gt;"",F627&lt;TODAY()),TODAY()-F627,"")</f>
        <v/>
      </c>
      <c r="I627" s="16"/>
    </row>
    <row r="628" customFormat="false" ht="15" hidden="false" customHeight="false" outlineLevel="0" collapsed="false">
      <c r="A628" s="15"/>
      <c r="B628" s="16"/>
      <c r="C628" s="13" t="str">
        <f aca="false">IFERROR(IF(B628="","",VLOOKUP(B628,Inventory!A:B,2,FALSE())),"")</f>
        <v/>
      </c>
      <c r="D628" s="16"/>
      <c r="E628" s="16"/>
      <c r="F628" s="15"/>
      <c r="G628" s="15"/>
      <c r="H628" s="17" t="str">
        <f aca="true">IF(AND(A628&lt;&gt;"",G628="",F628&lt;&gt;"",F628&lt;TODAY()),TODAY()-F628,"")</f>
        <v/>
      </c>
      <c r="I628" s="16"/>
    </row>
    <row r="629" customFormat="false" ht="15" hidden="false" customHeight="false" outlineLevel="0" collapsed="false">
      <c r="A629" s="15"/>
      <c r="B629" s="16"/>
      <c r="C629" s="13" t="str">
        <f aca="false">IFERROR(IF(B629="","",VLOOKUP(B629,Inventory!A:B,2,FALSE())),"")</f>
        <v/>
      </c>
      <c r="D629" s="16"/>
      <c r="E629" s="16"/>
      <c r="F629" s="15"/>
      <c r="G629" s="15"/>
      <c r="H629" s="17" t="str">
        <f aca="true">IF(AND(A629&lt;&gt;"",G629="",F629&lt;&gt;"",F629&lt;TODAY()),TODAY()-F629,"")</f>
        <v/>
      </c>
      <c r="I629" s="16"/>
    </row>
    <row r="630" customFormat="false" ht="15" hidden="false" customHeight="false" outlineLevel="0" collapsed="false">
      <c r="A630" s="15"/>
      <c r="B630" s="16"/>
      <c r="C630" s="13" t="str">
        <f aca="false">IFERROR(IF(B630="","",VLOOKUP(B630,Inventory!A:B,2,FALSE())),"")</f>
        <v/>
      </c>
      <c r="D630" s="16"/>
      <c r="E630" s="16"/>
      <c r="F630" s="15"/>
      <c r="G630" s="15"/>
      <c r="H630" s="17" t="str">
        <f aca="true">IF(AND(A630&lt;&gt;"",G630="",F630&lt;&gt;"",F630&lt;TODAY()),TODAY()-F630,"")</f>
        <v/>
      </c>
      <c r="I630" s="16"/>
    </row>
    <row r="631" customFormat="false" ht="15" hidden="false" customHeight="false" outlineLevel="0" collapsed="false">
      <c r="A631" s="15"/>
      <c r="B631" s="16"/>
      <c r="C631" s="13" t="str">
        <f aca="false">IFERROR(IF(B631="","",VLOOKUP(B631,Inventory!A:B,2,FALSE())),"")</f>
        <v/>
      </c>
      <c r="D631" s="16"/>
      <c r="E631" s="16"/>
      <c r="F631" s="15"/>
      <c r="G631" s="15"/>
      <c r="H631" s="17" t="str">
        <f aca="true">IF(AND(A631&lt;&gt;"",G631="",F631&lt;&gt;"",F631&lt;TODAY()),TODAY()-F631,"")</f>
        <v/>
      </c>
      <c r="I631" s="16"/>
    </row>
    <row r="632" customFormat="false" ht="15" hidden="false" customHeight="false" outlineLevel="0" collapsed="false">
      <c r="A632" s="15"/>
      <c r="B632" s="16"/>
      <c r="C632" s="13" t="str">
        <f aca="false">IFERROR(IF(B632="","",VLOOKUP(B632,Inventory!A:B,2,FALSE())),"")</f>
        <v/>
      </c>
      <c r="D632" s="16"/>
      <c r="E632" s="16"/>
      <c r="F632" s="15"/>
      <c r="G632" s="15"/>
      <c r="H632" s="17" t="str">
        <f aca="true">IF(AND(A632&lt;&gt;"",G632="",F632&lt;&gt;"",F632&lt;TODAY()),TODAY()-F632,"")</f>
        <v/>
      </c>
      <c r="I632" s="16"/>
    </row>
    <row r="633" customFormat="false" ht="15" hidden="false" customHeight="false" outlineLevel="0" collapsed="false">
      <c r="A633" s="15"/>
      <c r="B633" s="16"/>
      <c r="C633" s="13" t="str">
        <f aca="false">IFERROR(IF(B633="","",VLOOKUP(B633,Inventory!A:B,2,FALSE())),"")</f>
        <v/>
      </c>
      <c r="D633" s="16"/>
      <c r="E633" s="16"/>
      <c r="F633" s="15"/>
      <c r="G633" s="15"/>
      <c r="H633" s="17" t="str">
        <f aca="true">IF(AND(A633&lt;&gt;"",G633="",F633&lt;&gt;"",F633&lt;TODAY()),TODAY()-F633,"")</f>
        <v/>
      </c>
      <c r="I633" s="16"/>
    </row>
    <row r="634" customFormat="false" ht="15" hidden="false" customHeight="false" outlineLevel="0" collapsed="false">
      <c r="A634" s="15"/>
      <c r="B634" s="16"/>
      <c r="C634" s="13" t="str">
        <f aca="false">IFERROR(IF(B634="","",VLOOKUP(B634,Inventory!A:B,2,FALSE())),"")</f>
        <v/>
      </c>
      <c r="D634" s="16"/>
      <c r="E634" s="16"/>
      <c r="F634" s="15"/>
      <c r="G634" s="15"/>
      <c r="H634" s="17" t="str">
        <f aca="true">IF(AND(A634&lt;&gt;"",G634="",F634&lt;&gt;"",F634&lt;TODAY()),TODAY()-F634,"")</f>
        <v/>
      </c>
      <c r="I634" s="16"/>
    </row>
    <row r="635" customFormat="false" ht="15" hidden="false" customHeight="false" outlineLevel="0" collapsed="false">
      <c r="A635" s="15"/>
      <c r="B635" s="16"/>
      <c r="C635" s="13" t="str">
        <f aca="false">IFERROR(IF(B635="","",VLOOKUP(B635,Inventory!A:B,2,FALSE())),"")</f>
        <v/>
      </c>
      <c r="D635" s="16"/>
      <c r="E635" s="16"/>
      <c r="F635" s="15"/>
      <c r="G635" s="15"/>
      <c r="H635" s="17" t="str">
        <f aca="true">IF(AND(A635&lt;&gt;"",G635="",F635&lt;&gt;"",F635&lt;TODAY()),TODAY()-F635,"")</f>
        <v/>
      </c>
      <c r="I635" s="16"/>
    </row>
    <row r="636" customFormat="false" ht="15" hidden="false" customHeight="false" outlineLevel="0" collapsed="false">
      <c r="A636" s="15"/>
      <c r="B636" s="16"/>
      <c r="C636" s="13" t="str">
        <f aca="false">IFERROR(IF(B636="","",VLOOKUP(B636,Inventory!A:B,2,FALSE())),"")</f>
        <v/>
      </c>
      <c r="D636" s="16"/>
      <c r="E636" s="16"/>
      <c r="F636" s="15"/>
      <c r="G636" s="15"/>
      <c r="H636" s="17" t="str">
        <f aca="true">IF(AND(A636&lt;&gt;"",G636="",F636&lt;&gt;"",F636&lt;TODAY()),TODAY()-F636,"")</f>
        <v/>
      </c>
      <c r="I636" s="16"/>
    </row>
    <row r="637" customFormat="false" ht="15" hidden="false" customHeight="false" outlineLevel="0" collapsed="false">
      <c r="A637" s="15"/>
      <c r="B637" s="16"/>
      <c r="C637" s="13" t="str">
        <f aca="false">IFERROR(IF(B637="","",VLOOKUP(B637,Inventory!A:B,2,FALSE())),"")</f>
        <v/>
      </c>
      <c r="D637" s="16"/>
      <c r="E637" s="16"/>
      <c r="F637" s="15"/>
      <c r="G637" s="15"/>
      <c r="H637" s="17" t="str">
        <f aca="true">IF(AND(A637&lt;&gt;"",G637="",F637&lt;&gt;"",F637&lt;TODAY()),TODAY()-F637,"")</f>
        <v/>
      </c>
      <c r="I637" s="16"/>
    </row>
    <row r="638" customFormat="false" ht="15" hidden="false" customHeight="false" outlineLevel="0" collapsed="false">
      <c r="A638" s="15"/>
      <c r="B638" s="16"/>
      <c r="C638" s="13" t="str">
        <f aca="false">IFERROR(IF(B638="","",VLOOKUP(B638,Inventory!A:B,2,FALSE())),"")</f>
        <v/>
      </c>
      <c r="D638" s="16"/>
      <c r="E638" s="16"/>
      <c r="F638" s="15"/>
      <c r="G638" s="15"/>
      <c r="H638" s="17" t="str">
        <f aca="true">IF(AND(A638&lt;&gt;"",G638="",F638&lt;&gt;"",F638&lt;TODAY()),TODAY()-F638,"")</f>
        <v/>
      </c>
      <c r="I638" s="16"/>
    </row>
    <row r="639" customFormat="false" ht="15" hidden="false" customHeight="false" outlineLevel="0" collapsed="false">
      <c r="A639" s="15"/>
      <c r="B639" s="16"/>
      <c r="C639" s="13" t="str">
        <f aca="false">IFERROR(IF(B639="","",VLOOKUP(B639,Inventory!A:B,2,FALSE())),"")</f>
        <v/>
      </c>
      <c r="D639" s="16"/>
      <c r="E639" s="16"/>
      <c r="F639" s="15"/>
      <c r="G639" s="15"/>
      <c r="H639" s="17" t="str">
        <f aca="true">IF(AND(A639&lt;&gt;"",G639="",F639&lt;&gt;"",F639&lt;TODAY()),TODAY()-F639,"")</f>
        <v/>
      </c>
      <c r="I639" s="16"/>
    </row>
    <row r="640" customFormat="false" ht="15" hidden="false" customHeight="false" outlineLevel="0" collapsed="false">
      <c r="A640" s="15"/>
      <c r="B640" s="16"/>
      <c r="C640" s="13" t="str">
        <f aca="false">IFERROR(IF(B640="","",VLOOKUP(B640,Inventory!A:B,2,FALSE())),"")</f>
        <v/>
      </c>
      <c r="D640" s="16"/>
      <c r="E640" s="16"/>
      <c r="F640" s="15"/>
      <c r="G640" s="15"/>
      <c r="H640" s="17" t="str">
        <f aca="true">IF(AND(A640&lt;&gt;"",G640="",F640&lt;&gt;"",F640&lt;TODAY()),TODAY()-F640,"")</f>
        <v/>
      </c>
      <c r="I640" s="16"/>
    </row>
    <row r="641" customFormat="false" ht="15" hidden="false" customHeight="false" outlineLevel="0" collapsed="false">
      <c r="A641" s="15"/>
      <c r="B641" s="16"/>
      <c r="C641" s="13" t="str">
        <f aca="false">IFERROR(IF(B641="","",VLOOKUP(B641,Inventory!A:B,2,FALSE())),"")</f>
        <v/>
      </c>
      <c r="D641" s="16"/>
      <c r="E641" s="16"/>
      <c r="F641" s="15"/>
      <c r="G641" s="15"/>
      <c r="H641" s="17" t="str">
        <f aca="true">IF(AND(A641&lt;&gt;"",G641="",F641&lt;&gt;"",F641&lt;TODAY()),TODAY()-F641,"")</f>
        <v/>
      </c>
      <c r="I641" s="16"/>
    </row>
    <row r="642" customFormat="false" ht="15" hidden="false" customHeight="false" outlineLevel="0" collapsed="false">
      <c r="A642" s="15"/>
      <c r="B642" s="16"/>
      <c r="C642" s="13" t="str">
        <f aca="false">IFERROR(IF(B642="","",VLOOKUP(B642,Inventory!A:B,2,FALSE())),"")</f>
        <v/>
      </c>
      <c r="D642" s="16"/>
      <c r="E642" s="16"/>
      <c r="F642" s="15"/>
      <c r="G642" s="15"/>
      <c r="H642" s="17" t="str">
        <f aca="true">IF(AND(A642&lt;&gt;"",G642="",F642&lt;&gt;"",F642&lt;TODAY()),TODAY()-F642,"")</f>
        <v/>
      </c>
      <c r="I642" s="16"/>
    </row>
    <row r="643" customFormat="false" ht="15" hidden="false" customHeight="false" outlineLevel="0" collapsed="false">
      <c r="A643" s="15"/>
      <c r="B643" s="16"/>
      <c r="C643" s="13" t="str">
        <f aca="false">IFERROR(IF(B643="","",VLOOKUP(B643,Inventory!A:B,2,FALSE())),"")</f>
        <v/>
      </c>
      <c r="D643" s="16"/>
      <c r="E643" s="16"/>
      <c r="F643" s="15"/>
      <c r="G643" s="15"/>
      <c r="H643" s="17" t="str">
        <f aca="true">IF(AND(A643&lt;&gt;"",G643="",F643&lt;&gt;"",F643&lt;TODAY()),TODAY()-F643,"")</f>
        <v/>
      </c>
      <c r="I643" s="16"/>
    </row>
    <row r="644" customFormat="false" ht="15" hidden="false" customHeight="false" outlineLevel="0" collapsed="false">
      <c r="A644" s="15"/>
      <c r="B644" s="16"/>
      <c r="C644" s="13" t="str">
        <f aca="false">IFERROR(IF(B644="","",VLOOKUP(B644,Inventory!A:B,2,FALSE())),"")</f>
        <v/>
      </c>
      <c r="D644" s="16"/>
      <c r="E644" s="16"/>
      <c r="F644" s="15"/>
      <c r="G644" s="15"/>
      <c r="H644" s="17" t="str">
        <f aca="true">IF(AND(A644&lt;&gt;"",G644="",F644&lt;&gt;"",F644&lt;TODAY()),TODAY()-F644,"")</f>
        <v/>
      </c>
      <c r="I644" s="16"/>
    </row>
    <row r="645" customFormat="false" ht="15" hidden="false" customHeight="false" outlineLevel="0" collapsed="false">
      <c r="A645" s="15"/>
      <c r="B645" s="16"/>
      <c r="C645" s="13" t="str">
        <f aca="false">IFERROR(IF(B645="","",VLOOKUP(B645,Inventory!A:B,2,FALSE())),"")</f>
        <v/>
      </c>
      <c r="D645" s="16"/>
      <c r="E645" s="16"/>
      <c r="F645" s="15"/>
      <c r="G645" s="15"/>
      <c r="H645" s="17" t="str">
        <f aca="true">IF(AND(A645&lt;&gt;"",G645="",F645&lt;&gt;"",F645&lt;TODAY()),TODAY()-F645,"")</f>
        <v/>
      </c>
      <c r="I645" s="16"/>
    </row>
    <row r="646" customFormat="false" ht="15" hidden="false" customHeight="false" outlineLevel="0" collapsed="false">
      <c r="A646" s="15"/>
      <c r="B646" s="16"/>
      <c r="C646" s="13" t="str">
        <f aca="false">IFERROR(IF(B646="","",VLOOKUP(B646,Inventory!A:B,2,FALSE())),"")</f>
        <v/>
      </c>
      <c r="D646" s="16"/>
      <c r="E646" s="16"/>
      <c r="F646" s="15"/>
      <c r="G646" s="15"/>
      <c r="H646" s="17" t="str">
        <f aca="true">IF(AND(A646&lt;&gt;"",G646="",F646&lt;&gt;"",F646&lt;TODAY()),TODAY()-F646,"")</f>
        <v/>
      </c>
      <c r="I646" s="16"/>
    </row>
    <row r="647" customFormat="false" ht="15" hidden="false" customHeight="false" outlineLevel="0" collapsed="false">
      <c r="A647" s="15"/>
      <c r="B647" s="16"/>
      <c r="C647" s="13" t="str">
        <f aca="false">IFERROR(IF(B647="","",VLOOKUP(B647,Inventory!A:B,2,FALSE())),"")</f>
        <v/>
      </c>
      <c r="D647" s="16"/>
      <c r="E647" s="16"/>
      <c r="F647" s="15"/>
      <c r="G647" s="15"/>
      <c r="H647" s="17" t="str">
        <f aca="true">IF(AND(A647&lt;&gt;"",G647="",F647&lt;&gt;"",F647&lt;TODAY()),TODAY()-F647,"")</f>
        <v/>
      </c>
      <c r="I647" s="16"/>
    </row>
    <row r="648" customFormat="false" ht="15" hidden="false" customHeight="false" outlineLevel="0" collapsed="false">
      <c r="A648" s="15"/>
      <c r="B648" s="16"/>
      <c r="C648" s="13" t="str">
        <f aca="false">IFERROR(IF(B648="","",VLOOKUP(B648,Inventory!A:B,2,FALSE())),"")</f>
        <v/>
      </c>
      <c r="D648" s="16"/>
      <c r="E648" s="16"/>
      <c r="F648" s="15"/>
      <c r="G648" s="15"/>
      <c r="H648" s="17" t="str">
        <f aca="true">IF(AND(A648&lt;&gt;"",G648="",F648&lt;&gt;"",F648&lt;TODAY()),TODAY()-F648,"")</f>
        <v/>
      </c>
      <c r="I648" s="16"/>
    </row>
    <row r="649" customFormat="false" ht="15" hidden="false" customHeight="false" outlineLevel="0" collapsed="false">
      <c r="A649" s="15"/>
      <c r="B649" s="16"/>
      <c r="C649" s="13" t="str">
        <f aca="false">IFERROR(IF(B649="","",VLOOKUP(B649,Inventory!A:B,2,FALSE())),"")</f>
        <v/>
      </c>
      <c r="D649" s="16"/>
      <c r="E649" s="16"/>
      <c r="F649" s="15"/>
      <c r="G649" s="15"/>
      <c r="H649" s="17" t="str">
        <f aca="true">IF(AND(A649&lt;&gt;"",G649="",F649&lt;&gt;"",F649&lt;TODAY()),TODAY()-F649,"")</f>
        <v/>
      </c>
      <c r="I649" s="16"/>
    </row>
    <row r="650" customFormat="false" ht="15" hidden="false" customHeight="false" outlineLevel="0" collapsed="false">
      <c r="A650" s="15"/>
      <c r="B650" s="16"/>
      <c r="C650" s="13" t="str">
        <f aca="false">IFERROR(IF(B650="","",VLOOKUP(B650,Inventory!A:B,2,FALSE())),"")</f>
        <v/>
      </c>
      <c r="D650" s="16"/>
      <c r="E650" s="16"/>
      <c r="F650" s="15"/>
      <c r="G650" s="15"/>
      <c r="H650" s="17" t="str">
        <f aca="true">IF(AND(A650&lt;&gt;"",G650="",F650&lt;&gt;"",F650&lt;TODAY()),TODAY()-F650,"")</f>
        <v/>
      </c>
      <c r="I650" s="16"/>
    </row>
    <row r="651" customFormat="false" ht="15" hidden="false" customHeight="false" outlineLevel="0" collapsed="false">
      <c r="A651" s="15"/>
      <c r="B651" s="16"/>
      <c r="C651" s="13" t="str">
        <f aca="false">IFERROR(IF(B651="","",VLOOKUP(B651,Inventory!A:B,2,FALSE())),"")</f>
        <v/>
      </c>
      <c r="D651" s="16"/>
      <c r="E651" s="16"/>
      <c r="F651" s="15"/>
      <c r="G651" s="15"/>
      <c r="H651" s="17" t="str">
        <f aca="true">IF(AND(A651&lt;&gt;"",G651="",F651&lt;&gt;"",F651&lt;TODAY()),TODAY()-F651,"")</f>
        <v/>
      </c>
      <c r="I651" s="16"/>
    </row>
    <row r="652" customFormat="false" ht="15" hidden="false" customHeight="false" outlineLevel="0" collapsed="false">
      <c r="A652" s="15"/>
      <c r="B652" s="16"/>
      <c r="C652" s="13" t="str">
        <f aca="false">IFERROR(IF(B652="","",VLOOKUP(B652,Inventory!A:B,2,FALSE())),"")</f>
        <v/>
      </c>
      <c r="D652" s="16"/>
      <c r="E652" s="16"/>
      <c r="F652" s="15"/>
      <c r="G652" s="15"/>
      <c r="H652" s="17" t="str">
        <f aca="true">IF(AND(A652&lt;&gt;"",G652="",F652&lt;&gt;"",F652&lt;TODAY()),TODAY()-F652,"")</f>
        <v/>
      </c>
      <c r="I652" s="16"/>
    </row>
    <row r="653" customFormat="false" ht="15" hidden="false" customHeight="false" outlineLevel="0" collapsed="false">
      <c r="A653" s="15"/>
      <c r="B653" s="16"/>
      <c r="C653" s="13" t="str">
        <f aca="false">IFERROR(IF(B653="","",VLOOKUP(B653,Inventory!A:B,2,FALSE())),"")</f>
        <v/>
      </c>
      <c r="D653" s="16"/>
      <c r="E653" s="16"/>
      <c r="F653" s="15"/>
      <c r="G653" s="15"/>
      <c r="H653" s="17" t="str">
        <f aca="true">IF(AND(A653&lt;&gt;"",G653="",F653&lt;&gt;"",F653&lt;TODAY()),TODAY()-F653,"")</f>
        <v/>
      </c>
      <c r="I653" s="16"/>
    </row>
    <row r="654" customFormat="false" ht="15" hidden="false" customHeight="false" outlineLevel="0" collapsed="false">
      <c r="A654" s="15"/>
      <c r="B654" s="16"/>
      <c r="C654" s="13" t="str">
        <f aca="false">IFERROR(IF(B654="","",VLOOKUP(B654,Inventory!A:B,2,FALSE())),"")</f>
        <v/>
      </c>
      <c r="D654" s="16"/>
      <c r="E654" s="16"/>
      <c r="F654" s="15"/>
      <c r="G654" s="15"/>
      <c r="H654" s="17" t="str">
        <f aca="true">IF(AND(A654&lt;&gt;"",G654="",F654&lt;&gt;"",F654&lt;TODAY()),TODAY()-F654,"")</f>
        <v/>
      </c>
      <c r="I654" s="16"/>
    </row>
    <row r="655" customFormat="false" ht="15" hidden="false" customHeight="false" outlineLevel="0" collapsed="false">
      <c r="A655" s="15"/>
      <c r="B655" s="16"/>
      <c r="C655" s="13" t="str">
        <f aca="false">IFERROR(IF(B655="","",VLOOKUP(B655,Inventory!A:B,2,FALSE())),"")</f>
        <v/>
      </c>
      <c r="D655" s="16"/>
      <c r="E655" s="16"/>
      <c r="F655" s="15"/>
      <c r="G655" s="15"/>
      <c r="H655" s="17" t="str">
        <f aca="true">IF(AND(A655&lt;&gt;"",G655="",F655&lt;&gt;"",F655&lt;TODAY()),TODAY()-F655,"")</f>
        <v/>
      </c>
      <c r="I655" s="16"/>
    </row>
    <row r="656" customFormat="false" ht="15" hidden="false" customHeight="false" outlineLevel="0" collapsed="false">
      <c r="A656" s="15"/>
      <c r="B656" s="16"/>
      <c r="C656" s="13" t="str">
        <f aca="false">IFERROR(IF(B656="","",VLOOKUP(B656,Inventory!A:B,2,FALSE())),"")</f>
        <v/>
      </c>
      <c r="D656" s="16"/>
      <c r="E656" s="16"/>
      <c r="F656" s="15"/>
      <c r="G656" s="15"/>
      <c r="H656" s="17" t="str">
        <f aca="true">IF(AND(A656&lt;&gt;"",G656="",F656&lt;&gt;"",F656&lt;TODAY()),TODAY()-F656,"")</f>
        <v/>
      </c>
      <c r="I656" s="16"/>
    </row>
    <row r="657" customFormat="false" ht="15" hidden="false" customHeight="false" outlineLevel="0" collapsed="false">
      <c r="A657" s="15"/>
      <c r="B657" s="16"/>
      <c r="C657" s="13" t="str">
        <f aca="false">IFERROR(IF(B657="","",VLOOKUP(B657,Inventory!A:B,2,FALSE())),"")</f>
        <v/>
      </c>
      <c r="D657" s="16"/>
      <c r="E657" s="16"/>
      <c r="F657" s="15"/>
      <c r="G657" s="15"/>
      <c r="H657" s="17" t="str">
        <f aca="true">IF(AND(A657&lt;&gt;"",G657="",F657&lt;&gt;"",F657&lt;TODAY()),TODAY()-F657,"")</f>
        <v/>
      </c>
      <c r="I657" s="16"/>
    </row>
    <row r="658" customFormat="false" ht="15" hidden="false" customHeight="false" outlineLevel="0" collapsed="false">
      <c r="A658" s="15"/>
      <c r="B658" s="16"/>
      <c r="C658" s="13" t="str">
        <f aca="false">IFERROR(IF(B658="","",VLOOKUP(B658,Inventory!A:B,2,FALSE())),"")</f>
        <v/>
      </c>
      <c r="D658" s="16"/>
      <c r="E658" s="16"/>
      <c r="F658" s="15"/>
      <c r="G658" s="15"/>
      <c r="H658" s="17" t="str">
        <f aca="true">IF(AND(A658&lt;&gt;"",G658="",F658&lt;&gt;"",F658&lt;TODAY()),TODAY()-F658,"")</f>
        <v/>
      </c>
      <c r="I658" s="16"/>
    </row>
    <row r="659" customFormat="false" ht="15" hidden="false" customHeight="false" outlineLevel="0" collapsed="false">
      <c r="A659" s="15"/>
      <c r="B659" s="16"/>
      <c r="C659" s="13" t="str">
        <f aca="false">IFERROR(IF(B659="","",VLOOKUP(B659,Inventory!A:B,2,FALSE())),"")</f>
        <v/>
      </c>
      <c r="D659" s="16"/>
      <c r="E659" s="16"/>
      <c r="F659" s="15"/>
      <c r="G659" s="15"/>
      <c r="H659" s="17" t="str">
        <f aca="true">IF(AND(A659&lt;&gt;"",G659="",F659&lt;&gt;"",F659&lt;TODAY()),TODAY()-F659,"")</f>
        <v/>
      </c>
      <c r="I659" s="16"/>
    </row>
    <row r="660" customFormat="false" ht="15" hidden="false" customHeight="false" outlineLevel="0" collapsed="false">
      <c r="A660" s="15"/>
      <c r="B660" s="16"/>
      <c r="C660" s="13" t="str">
        <f aca="false">IFERROR(IF(B660="","",VLOOKUP(B660,Inventory!A:B,2,FALSE())),"")</f>
        <v/>
      </c>
      <c r="D660" s="16"/>
      <c r="E660" s="16"/>
      <c r="F660" s="15"/>
      <c r="G660" s="15"/>
      <c r="H660" s="17" t="str">
        <f aca="true">IF(AND(A660&lt;&gt;"",G660="",F660&lt;&gt;"",F660&lt;TODAY()),TODAY()-F660,"")</f>
        <v/>
      </c>
      <c r="I660" s="16"/>
    </row>
    <row r="661" customFormat="false" ht="15" hidden="false" customHeight="false" outlineLevel="0" collapsed="false">
      <c r="A661" s="15"/>
      <c r="B661" s="16"/>
      <c r="C661" s="13" t="str">
        <f aca="false">IFERROR(IF(B661="","",VLOOKUP(B661,Inventory!A:B,2,FALSE())),"")</f>
        <v/>
      </c>
      <c r="D661" s="16"/>
      <c r="E661" s="16"/>
      <c r="F661" s="15"/>
      <c r="G661" s="15"/>
      <c r="H661" s="17" t="str">
        <f aca="true">IF(AND(A661&lt;&gt;"",G661="",F661&lt;&gt;"",F661&lt;TODAY()),TODAY()-F661,"")</f>
        <v/>
      </c>
      <c r="I661" s="16"/>
    </row>
    <row r="662" customFormat="false" ht="15" hidden="false" customHeight="false" outlineLevel="0" collapsed="false">
      <c r="A662" s="15"/>
      <c r="B662" s="16"/>
      <c r="C662" s="13" t="str">
        <f aca="false">IFERROR(IF(B662="","",VLOOKUP(B662,Inventory!A:B,2,FALSE())),"")</f>
        <v/>
      </c>
      <c r="D662" s="16"/>
      <c r="E662" s="16"/>
      <c r="F662" s="15"/>
      <c r="G662" s="15"/>
      <c r="H662" s="17" t="str">
        <f aca="true">IF(AND(A662&lt;&gt;"",G662="",F662&lt;&gt;"",F662&lt;TODAY()),TODAY()-F662,"")</f>
        <v/>
      </c>
      <c r="I662" s="16"/>
    </row>
    <row r="663" customFormat="false" ht="15" hidden="false" customHeight="false" outlineLevel="0" collapsed="false">
      <c r="A663" s="15"/>
      <c r="B663" s="16"/>
      <c r="C663" s="13" t="str">
        <f aca="false">IFERROR(IF(B663="","",VLOOKUP(B663,Inventory!A:B,2,FALSE())),"")</f>
        <v/>
      </c>
      <c r="D663" s="16"/>
      <c r="E663" s="16"/>
      <c r="F663" s="15"/>
      <c r="G663" s="15"/>
      <c r="H663" s="17" t="str">
        <f aca="true">IF(AND(A663&lt;&gt;"",G663="",F663&lt;&gt;"",F663&lt;TODAY()),TODAY()-F663,"")</f>
        <v/>
      </c>
      <c r="I663" s="16"/>
    </row>
    <row r="664" customFormat="false" ht="15" hidden="false" customHeight="false" outlineLevel="0" collapsed="false">
      <c r="A664" s="15"/>
      <c r="B664" s="16"/>
      <c r="C664" s="13" t="str">
        <f aca="false">IFERROR(IF(B664="","",VLOOKUP(B664,Inventory!A:B,2,FALSE())),"")</f>
        <v/>
      </c>
      <c r="D664" s="16"/>
      <c r="E664" s="16"/>
      <c r="F664" s="15"/>
      <c r="G664" s="15"/>
      <c r="H664" s="17" t="str">
        <f aca="true">IF(AND(A664&lt;&gt;"",G664="",F664&lt;&gt;"",F664&lt;TODAY()),TODAY()-F664,"")</f>
        <v/>
      </c>
      <c r="I664" s="16"/>
    </row>
    <row r="665" customFormat="false" ht="15" hidden="false" customHeight="false" outlineLevel="0" collapsed="false">
      <c r="A665" s="15"/>
      <c r="B665" s="16"/>
      <c r="C665" s="13" t="str">
        <f aca="false">IFERROR(IF(B665="","",VLOOKUP(B665,Inventory!A:B,2,FALSE())),"")</f>
        <v/>
      </c>
      <c r="D665" s="16"/>
      <c r="E665" s="16"/>
      <c r="F665" s="15"/>
      <c r="G665" s="15"/>
      <c r="H665" s="17" t="str">
        <f aca="true">IF(AND(A665&lt;&gt;"",G665="",F665&lt;&gt;"",F665&lt;TODAY()),TODAY()-F665,"")</f>
        <v/>
      </c>
      <c r="I665" s="16"/>
    </row>
    <row r="666" customFormat="false" ht="15" hidden="false" customHeight="false" outlineLevel="0" collapsed="false">
      <c r="A666" s="15"/>
      <c r="B666" s="16"/>
      <c r="C666" s="13" t="str">
        <f aca="false">IFERROR(IF(B666="","",VLOOKUP(B666,Inventory!A:B,2,FALSE())),"")</f>
        <v/>
      </c>
      <c r="D666" s="16"/>
      <c r="E666" s="16"/>
      <c r="F666" s="15"/>
      <c r="G666" s="15"/>
      <c r="H666" s="17" t="str">
        <f aca="true">IF(AND(A666&lt;&gt;"",G666="",F666&lt;&gt;"",F666&lt;TODAY()),TODAY()-F666,"")</f>
        <v/>
      </c>
      <c r="I666" s="16"/>
    </row>
    <row r="667" customFormat="false" ht="15" hidden="false" customHeight="false" outlineLevel="0" collapsed="false">
      <c r="A667" s="15"/>
      <c r="B667" s="16"/>
      <c r="C667" s="13" t="str">
        <f aca="false">IFERROR(IF(B667="","",VLOOKUP(B667,Inventory!A:B,2,FALSE())),"")</f>
        <v/>
      </c>
      <c r="D667" s="16"/>
      <c r="E667" s="16"/>
      <c r="F667" s="15"/>
      <c r="G667" s="15"/>
      <c r="H667" s="17" t="str">
        <f aca="true">IF(AND(A667&lt;&gt;"",G667="",F667&lt;&gt;"",F667&lt;TODAY()),TODAY()-F667,"")</f>
        <v/>
      </c>
      <c r="I667" s="16"/>
    </row>
    <row r="668" customFormat="false" ht="15" hidden="false" customHeight="false" outlineLevel="0" collapsed="false">
      <c r="A668" s="15"/>
      <c r="B668" s="16"/>
      <c r="C668" s="13" t="str">
        <f aca="false">IFERROR(IF(B668="","",VLOOKUP(B668,Inventory!A:B,2,FALSE())),"")</f>
        <v/>
      </c>
      <c r="D668" s="16"/>
      <c r="E668" s="16"/>
      <c r="F668" s="15"/>
      <c r="G668" s="15"/>
      <c r="H668" s="17" t="str">
        <f aca="true">IF(AND(A668&lt;&gt;"",G668="",F668&lt;&gt;"",F668&lt;TODAY()),TODAY()-F668,"")</f>
        <v/>
      </c>
      <c r="I668" s="16"/>
    </row>
    <row r="669" customFormat="false" ht="15" hidden="false" customHeight="false" outlineLevel="0" collapsed="false">
      <c r="A669" s="15"/>
      <c r="B669" s="16"/>
      <c r="C669" s="13" t="str">
        <f aca="false">IFERROR(IF(B669="","",VLOOKUP(B669,Inventory!A:B,2,FALSE())),"")</f>
        <v/>
      </c>
      <c r="D669" s="16"/>
      <c r="E669" s="16"/>
      <c r="F669" s="15"/>
      <c r="G669" s="15"/>
      <c r="H669" s="17" t="str">
        <f aca="true">IF(AND(A669&lt;&gt;"",G669="",F669&lt;&gt;"",F669&lt;TODAY()),TODAY()-F669,"")</f>
        <v/>
      </c>
      <c r="I669" s="16"/>
    </row>
    <row r="670" customFormat="false" ht="15" hidden="false" customHeight="false" outlineLevel="0" collapsed="false">
      <c r="A670" s="15"/>
      <c r="B670" s="16"/>
      <c r="C670" s="13" t="str">
        <f aca="false">IFERROR(IF(B670="","",VLOOKUP(B670,Inventory!A:B,2,FALSE())),"")</f>
        <v/>
      </c>
      <c r="D670" s="16"/>
      <c r="E670" s="16"/>
      <c r="F670" s="15"/>
      <c r="G670" s="15"/>
      <c r="H670" s="17" t="str">
        <f aca="true">IF(AND(A670&lt;&gt;"",G670="",F670&lt;&gt;"",F670&lt;TODAY()),TODAY()-F670,"")</f>
        <v/>
      </c>
      <c r="I670" s="16"/>
    </row>
    <row r="671" customFormat="false" ht="15" hidden="false" customHeight="false" outlineLevel="0" collapsed="false">
      <c r="A671" s="15"/>
      <c r="B671" s="16"/>
      <c r="C671" s="13" t="str">
        <f aca="false">IFERROR(IF(B671="","",VLOOKUP(B671,Inventory!A:B,2,FALSE())),"")</f>
        <v/>
      </c>
      <c r="D671" s="16"/>
      <c r="E671" s="16"/>
      <c r="F671" s="15"/>
      <c r="G671" s="15"/>
      <c r="H671" s="17" t="str">
        <f aca="true">IF(AND(A671&lt;&gt;"",G671="",F671&lt;&gt;"",F671&lt;TODAY()),TODAY()-F671,"")</f>
        <v/>
      </c>
      <c r="I671" s="16"/>
    </row>
    <row r="672" customFormat="false" ht="15" hidden="false" customHeight="false" outlineLevel="0" collapsed="false">
      <c r="A672" s="15"/>
      <c r="B672" s="16"/>
      <c r="C672" s="13" t="str">
        <f aca="false">IFERROR(IF(B672="","",VLOOKUP(B672,Inventory!A:B,2,FALSE())),"")</f>
        <v/>
      </c>
      <c r="D672" s="16"/>
      <c r="E672" s="16"/>
      <c r="F672" s="15"/>
      <c r="G672" s="15"/>
      <c r="H672" s="17" t="str">
        <f aca="true">IF(AND(A672&lt;&gt;"",G672="",F672&lt;&gt;"",F672&lt;TODAY()),TODAY()-F672,"")</f>
        <v/>
      </c>
      <c r="I672" s="16"/>
    </row>
    <row r="673" customFormat="false" ht="15" hidden="false" customHeight="false" outlineLevel="0" collapsed="false">
      <c r="A673" s="15"/>
      <c r="B673" s="16"/>
      <c r="C673" s="13" t="str">
        <f aca="false">IFERROR(IF(B673="","",VLOOKUP(B673,Inventory!A:B,2,FALSE())),"")</f>
        <v/>
      </c>
      <c r="D673" s="16"/>
      <c r="E673" s="16"/>
      <c r="F673" s="15"/>
      <c r="G673" s="15"/>
      <c r="H673" s="17" t="str">
        <f aca="true">IF(AND(A673&lt;&gt;"",G673="",F673&lt;&gt;"",F673&lt;TODAY()),TODAY()-F673,"")</f>
        <v/>
      </c>
      <c r="I673" s="16"/>
    </row>
    <row r="674" customFormat="false" ht="15" hidden="false" customHeight="false" outlineLevel="0" collapsed="false">
      <c r="A674" s="15"/>
      <c r="B674" s="16"/>
      <c r="C674" s="13" t="str">
        <f aca="false">IFERROR(IF(B674="","",VLOOKUP(B674,Inventory!A:B,2,FALSE())),"")</f>
        <v/>
      </c>
      <c r="D674" s="16"/>
      <c r="E674" s="16"/>
      <c r="F674" s="15"/>
      <c r="G674" s="15"/>
      <c r="H674" s="17" t="str">
        <f aca="true">IF(AND(A674&lt;&gt;"",G674="",F674&lt;&gt;"",F674&lt;TODAY()),TODAY()-F674,"")</f>
        <v/>
      </c>
      <c r="I674" s="16"/>
    </row>
    <row r="675" customFormat="false" ht="15" hidden="false" customHeight="false" outlineLevel="0" collapsed="false">
      <c r="A675" s="15"/>
      <c r="B675" s="16"/>
      <c r="C675" s="13" t="str">
        <f aca="false">IFERROR(IF(B675="","",VLOOKUP(B675,Inventory!A:B,2,FALSE())),"")</f>
        <v/>
      </c>
      <c r="D675" s="16"/>
      <c r="E675" s="16"/>
      <c r="F675" s="15"/>
      <c r="G675" s="15"/>
      <c r="H675" s="17" t="str">
        <f aca="true">IF(AND(A675&lt;&gt;"",G675="",F675&lt;&gt;"",F675&lt;TODAY()),TODAY()-F675,"")</f>
        <v/>
      </c>
      <c r="I675" s="16"/>
    </row>
    <row r="676" customFormat="false" ht="15" hidden="false" customHeight="false" outlineLevel="0" collapsed="false">
      <c r="A676" s="15"/>
      <c r="B676" s="16"/>
      <c r="C676" s="13" t="str">
        <f aca="false">IFERROR(IF(B676="","",VLOOKUP(B676,Inventory!A:B,2,FALSE())),"")</f>
        <v/>
      </c>
      <c r="D676" s="16"/>
      <c r="E676" s="16"/>
      <c r="F676" s="15"/>
      <c r="G676" s="15"/>
      <c r="H676" s="17" t="str">
        <f aca="true">IF(AND(A676&lt;&gt;"",G676="",F676&lt;&gt;"",F676&lt;TODAY()),TODAY()-F676,"")</f>
        <v/>
      </c>
      <c r="I676" s="16"/>
    </row>
    <row r="677" customFormat="false" ht="15" hidden="false" customHeight="false" outlineLevel="0" collapsed="false">
      <c r="A677" s="15"/>
      <c r="B677" s="16"/>
      <c r="C677" s="13" t="str">
        <f aca="false">IFERROR(IF(B677="","",VLOOKUP(B677,Inventory!A:B,2,FALSE())),"")</f>
        <v/>
      </c>
      <c r="D677" s="16"/>
      <c r="E677" s="16"/>
      <c r="F677" s="15"/>
      <c r="G677" s="15"/>
      <c r="H677" s="17" t="str">
        <f aca="true">IF(AND(A677&lt;&gt;"",G677="",F677&lt;&gt;"",F677&lt;TODAY()),TODAY()-F677,"")</f>
        <v/>
      </c>
      <c r="I677" s="16"/>
    </row>
    <row r="678" customFormat="false" ht="15" hidden="false" customHeight="false" outlineLevel="0" collapsed="false">
      <c r="A678" s="15"/>
      <c r="B678" s="16"/>
      <c r="C678" s="13" t="str">
        <f aca="false">IFERROR(IF(B678="","",VLOOKUP(B678,Inventory!A:B,2,FALSE())),"")</f>
        <v/>
      </c>
      <c r="D678" s="16"/>
      <c r="E678" s="16"/>
      <c r="F678" s="15"/>
      <c r="G678" s="15"/>
      <c r="H678" s="17" t="str">
        <f aca="true">IF(AND(A678&lt;&gt;"",G678="",F678&lt;&gt;"",F678&lt;TODAY()),TODAY()-F678,"")</f>
        <v/>
      </c>
      <c r="I678" s="16"/>
    </row>
    <row r="679" customFormat="false" ht="15" hidden="false" customHeight="false" outlineLevel="0" collapsed="false">
      <c r="A679" s="15"/>
      <c r="B679" s="16"/>
      <c r="C679" s="13" t="str">
        <f aca="false">IFERROR(IF(B679="","",VLOOKUP(B679,Inventory!A:B,2,FALSE())),"")</f>
        <v/>
      </c>
      <c r="D679" s="16"/>
      <c r="E679" s="16"/>
      <c r="F679" s="15"/>
      <c r="G679" s="15"/>
      <c r="H679" s="17" t="str">
        <f aca="true">IF(AND(A679&lt;&gt;"",G679="",F679&lt;&gt;"",F679&lt;TODAY()),TODAY()-F679,"")</f>
        <v/>
      </c>
      <c r="I679" s="16"/>
    </row>
    <row r="680" customFormat="false" ht="15" hidden="false" customHeight="false" outlineLevel="0" collapsed="false">
      <c r="A680" s="15"/>
      <c r="B680" s="16"/>
      <c r="C680" s="13" t="str">
        <f aca="false">IFERROR(IF(B680="","",VLOOKUP(B680,Inventory!A:B,2,FALSE())),"")</f>
        <v/>
      </c>
      <c r="D680" s="16"/>
      <c r="E680" s="16"/>
      <c r="F680" s="15"/>
      <c r="G680" s="15"/>
      <c r="H680" s="17" t="str">
        <f aca="true">IF(AND(A680&lt;&gt;"",G680="",F680&lt;&gt;"",F680&lt;TODAY()),TODAY()-F680,"")</f>
        <v/>
      </c>
      <c r="I680" s="16"/>
    </row>
    <row r="681" customFormat="false" ht="15" hidden="false" customHeight="false" outlineLevel="0" collapsed="false">
      <c r="A681" s="15"/>
      <c r="B681" s="16"/>
      <c r="C681" s="13" t="str">
        <f aca="false">IFERROR(IF(B681="","",VLOOKUP(B681,Inventory!A:B,2,FALSE())),"")</f>
        <v/>
      </c>
      <c r="D681" s="16"/>
      <c r="E681" s="16"/>
      <c r="F681" s="15"/>
      <c r="G681" s="15"/>
      <c r="H681" s="17" t="str">
        <f aca="true">IF(AND(A681&lt;&gt;"",G681="",F681&lt;&gt;"",F681&lt;TODAY()),TODAY()-F681,"")</f>
        <v/>
      </c>
      <c r="I681" s="16"/>
    </row>
    <row r="682" customFormat="false" ht="15" hidden="false" customHeight="false" outlineLevel="0" collapsed="false">
      <c r="A682" s="15"/>
      <c r="B682" s="16"/>
      <c r="C682" s="13" t="str">
        <f aca="false">IFERROR(IF(B682="","",VLOOKUP(B682,Inventory!A:B,2,FALSE())),"")</f>
        <v/>
      </c>
      <c r="D682" s="16"/>
      <c r="E682" s="16"/>
      <c r="F682" s="15"/>
      <c r="G682" s="15"/>
      <c r="H682" s="17" t="str">
        <f aca="true">IF(AND(A682&lt;&gt;"",G682="",F682&lt;&gt;"",F682&lt;TODAY()),TODAY()-F682,"")</f>
        <v/>
      </c>
      <c r="I682" s="16"/>
    </row>
    <row r="683" customFormat="false" ht="15" hidden="false" customHeight="false" outlineLevel="0" collapsed="false">
      <c r="A683" s="15"/>
      <c r="B683" s="16"/>
      <c r="C683" s="13" t="str">
        <f aca="false">IFERROR(IF(B683="","",VLOOKUP(B683,Inventory!A:B,2,FALSE())),"")</f>
        <v/>
      </c>
      <c r="D683" s="16"/>
      <c r="E683" s="16"/>
      <c r="F683" s="15"/>
      <c r="G683" s="15"/>
      <c r="H683" s="17" t="str">
        <f aca="true">IF(AND(A683&lt;&gt;"",G683="",F683&lt;&gt;"",F683&lt;TODAY()),TODAY()-F683,"")</f>
        <v/>
      </c>
      <c r="I683" s="16"/>
    </row>
    <row r="684" customFormat="false" ht="15" hidden="false" customHeight="false" outlineLevel="0" collapsed="false">
      <c r="A684" s="15"/>
      <c r="B684" s="16"/>
      <c r="C684" s="13" t="str">
        <f aca="false">IFERROR(IF(B684="","",VLOOKUP(B684,Inventory!A:B,2,FALSE())),"")</f>
        <v/>
      </c>
      <c r="D684" s="16"/>
      <c r="E684" s="16"/>
      <c r="F684" s="15"/>
      <c r="G684" s="15"/>
      <c r="H684" s="17" t="str">
        <f aca="true">IF(AND(A684&lt;&gt;"",G684="",F684&lt;&gt;"",F684&lt;TODAY()),TODAY()-F684,"")</f>
        <v/>
      </c>
      <c r="I684" s="16"/>
    </row>
    <row r="685" customFormat="false" ht="15" hidden="false" customHeight="false" outlineLevel="0" collapsed="false">
      <c r="A685" s="15"/>
      <c r="B685" s="16"/>
      <c r="C685" s="13" t="str">
        <f aca="false">IFERROR(IF(B685="","",VLOOKUP(B685,Inventory!A:B,2,FALSE())),"")</f>
        <v/>
      </c>
      <c r="D685" s="16"/>
      <c r="E685" s="16"/>
      <c r="F685" s="15"/>
      <c r="G685" s="15"/>
      <c r="H685" s="17" t="str">
        <f aca="true">IF(AND(A685&lt;&gt;"",G685="",F685&lt;&gt;"",F685&lt;TODAY()),TODAY()-F685,"")</f>
        <v/>
      </c>
      <c r="I685" s="16"/>
    </row>
    <row r="686" customFormat="false" ht="15" hidden="false" customHeight="false" outlineLevel="0" collapsed="false">
      <c r="A686" s="15"/>
      <c r="B686" s="16"/>
      <c r="C686" s="13" t="str">
        <f aca="false">IFERROR(IF(B686="","",VLOOKUP(B686,Inventory!A:B,2,FALSE())),"")</f>
        <v/>
      </c>
      <c r="D686" s="16"/>
      <c r="E686" s="16"/>
      <c r="F686" s="15"/>
      <c r="G686" s="15"/>
      <c r="H686" s="17" t="str">
        <f aca="true">IF(AND(A686&lt;&gt;"",G686="",F686&lt;&gt;"",F686&lt;TODAY()),TODAY()-F686,"")</f>
        <v/>
      </c>
      <c r="I686" s="16"/>
    </row>
    <row r="687" customFormat="false" ht="15" hidden="false" customHeight="false" outlineLevel="0" collapsed="false">
      <c r="A687" s="15"/>
      <c r="B687" s="16"/>
      <c r="C687" s="13" t="str">
        <f aca="false">IFERROR(IF(B687="","",VLOOKUP(B687,Inventory!A:B,2,FALSE())),"")</f>
        <v/>
      </c>
      <c r="D687" s="16"/>
      <c r="E687" s="16"/>
      <c r="F687" s="15"/>
      <c r="G687" s="15"/>
      <c r="H687" s="17" t="str">
        <f aca="true">IF(AND(A687&lt;&gt;"",G687="",F687&lt;&gt;"",F687&lt;TODAY()),TODAY()-F687,"")</f>
        <v/>
      </c>
      <c r="I687" s="16"/>
    </row>
    <row r="688" customFormat="false" ht="15" hidden="false" customHeight="false" outlineLevel="0" collapsed="false">
      <c r="A688" s="15"/>
      <c r="B688" s="16"/>
      <c r="C688" s="13" t="str">
        <f aca="false">IFERROR(IF(B688="","",VLOOKUP(B688,Inventory!A:B,2,FALSE())),"")</f>
        <v/>
      </c>
      <c r="D688" s="16"/>
      <c r="E688" s="16"/>
      <c r="F688" s="15"/>
      <c r="G688" s="15"/>
      <c r="H688" s="17" t="str">
        <f aca="true">IF(AND(A688&lt;&gt;"",G688="",F688&lt;&gt;"",F688&lt;TODAY()),TODAY()-F688,"")</f>
        <v/>
      </c>
      <c r="I688" s="16"/>
    </row>
    <row r="689" customFormat="false" ht="15" hidden="false" customHeight="false" outlineLevel="0" collapsed="false">
      <c r="A689" s="15"/>
      <c r="B689" s="16"/>
      <c r="C689" s="13" t="str">
        <f aca="false">IFERROR(IF(B689="","",VLOOKUP(B689,Inventory!A:B,2,FALSE())),"")</f>
        <v/>
      </c>
      <c r="D689" s="16"/>
      <c r="E689" s="16"/>
      <c r="F689" s="15"/>
      <c r="G689" s="15"/>
      <c r="H689" s="17" t="str">
        <f aca="true">IF(AND(A689&lt;&gt;"",G689="",F689&lt;&gt;"",F689&lt;TODAY()),TODAY()-F689,"")</f>
        <v/>
      </c>
      <c r="I689" s="16"/>
    </row>
    <row r="690" customFormat="false" ht="15" hidden="false" customHeight="false" outlineLevel="0" collapsed="false">
      <c r="A690" s="15"/>
      <c r="B690" s="16"/>
      <c r="C690" s="13" t="str">
        <f aca="false">IFERROR(IF(B690="","",VLOOKUP(B690,Inventory!A:B,2,FALSE())),"")</f>
        <v/>
      </c>
      <c r="D690" s="16"/>
      <c r="E690" s="16"/>
      <c r="F690" s="15"/>
      <c r="G690" s="15"/>
      <c r="H690" s="17" t="str">
        <f aca="true">IF(AND(A690&lt;&gt;"",G690="",F690&lt;&gt;"",F690&lt;TODAY()),TODAY()-F690,"")</f>
        <v/>
      </c>
      <c r="I690" s="16"/>
    </row>
    <row r="691" customFormat="false" ht="15" hidden="false" customHeight="false" outlineLevel="0" collapsed="false">
      <c r="A691" s="15"/>
      <c r="B691" s="16"/>
      <c r="C691" s="13" t="str">
        <f aca="false">IFERROR(IF(B691="","",VLOOKUP(B691,Inventory!A:B,2,FALSE())),"")</f>
        <v/>
      </c>
      <c r="D691" s="16"/>
      <c r="E691" s="16"/>
      <c r="F691" s="15"/>
      <c r="G691" s="15"/>
      <c r="H691" s="17" t="str">
        <f aca="true">IF(AND(A691&lt;&gt;"",G691="",F691&lt;&gt;"",F691&lt;TODAY()),TODAY()-F691,"")</f>
        <v/>
      </c>
      <c r="I691" s="16"/>
    </row>
    <row r="692" customFormat="false" ht="15" hidden="false" customHeight="false" outlineLevel="0" collapsed="false">
      <c r="A692" s="15"/>
      <c r="B692" s="16"/>
      <c r="C692" s="13" t="str">
        <f aca="false">IFERROR(IF(B692="","",VLOOKUP(B692,Inventory!A:B,2,FALSE())),"")</f>
        <v/>
      </c>
      <c r="D692" s="16"/>
      <c r="E692" s="16"/>
      <c r="F692" s="15"/>
      <c r="G692" s="15"/>
      <c r="H692" s="17" t="str">
        <f aca="true">IF(AND(A692&lt;&gt;"",G692="",F692&lt;&gt;"",F692&lt;TODAY()),TODAY()-F692,"")</f>
        <v/>
      </c>
      <c r="I692" s="16"/>
    </row>
    <row r="693" customFormat="false" ht="15" hidden="false" customHeight="false" outlineLevel="0" collapsed="false">
      <c r="A693" s="15"/>
      <c r="B693" s="16"/>
      <c r="C693" s="13" t="str">
        <f aca="false">IFERROR(IF(B693="","",VLOOKUP(B693,Inventory!A:B,2,FALSE())),"")</f>
        <v/>
      </c>
      <c r="D693" s="16"/>
      <c r="E693" s="16"/>
      <c r="F693" s="15"/>
      <c r="G693" s="15"/>
      <c r="H693" s="17" t="str">
        <f aca="true">IF(AND(A693&lt;&gt;"",G693="",F693&lt;&gt;"",F693&lt;TODAY()),TODAY()-F693,"")</f>
        <v/>
      </c>
      <c r="I693" s="16"/>
    </row>
    <row r="694" customFormat="false" ht="15" hidden="false" customHeight="false" outlineLevel="0" collapsed="false">
      <c r="A694" s="15"/>
      <c r="B694" s="16"/>
      <c r="C694" s="13" t="str">
        <f aca="false">IFERROR(IF(B694="","",VLOOKUP(B694,Inventory!A:B,2,FALSE())),"")</f>
        <v/>
      </c>
      <c r="D694" s="16"/>
      <c r="E694" s="16"/>
      <c r="F694" s="15"/>
      <c r="G694" s="15"/>
      <c r="H694" s="17" t="str">
        <f aca="true">IF(AND(A694&lt;&gt;"",G694="",F694&lt;&gt;"",F694&lt;TODAY()),TODAY()-F694,"")</f>
        <v/>
      </c>
      <c r="I694" s="16"/>
    </row>
    <row r="695" customFormat="false" ht="15" hidden="false" customHeight="false" outlineLevel="0" collapsed="false">
      <c r="A695" s="15"/>
      <c r="B695" s="16"/>
      <c r="C695" s="13" t="str">
        <f aca="false">IFERROR(IF(B695="","",VLOOKUP(B695,Inventory!A:B,2,FALSE())),"")</f>
        <v/>
      </c>
      <c r="D695" s="16"/>
      <c r="E695" s="16"/>
      <c r="F695" s="15"/>
      <c r="G695" s="15"/>
      <c r="H695" s="17" t="str">
        <f aca="true">IF(AND(A695&lt;&gt;"",G695="",F695&lt;&gt;"",F695&lt;TODAY()),TODAY()-F695,"")</f>
        <v/>
      </c>
      <c r="I695" s="16"/>
    </row>
    <row r="696" customFormat="false" ht="15" hidden="false" customHeight="false" outlineLevel="0" collapsed="false">
      <c r="A696" s="15"/>
      <c r="B696" s="16"/>
      <c r="C696" s="13" t="str">
        <f aca="false">IFERROR(IF(B696="","",VLOOKUP(B696,Inventory!A:B,2,FALSE())),"")</f>
        <v/>
      </c>
      <c r="D696" s="16"/>
      <c r="E696" s="16"/>
      <c r="F696" s="15"/>
      <c r="G696" s="15"/>
      <c r="H696" s="17" t="str">
        <f aca="true">IF(AND(A696&lt;&gt;"",G696="",F696&lt;&gt;"",F696&lt;TODAY()),TODAY()-F696,"")</f>
        <v/>
      </c>
      <c r="I696" s="16"/>
    </row>
    <row r="697" customFormat="false" ht="15" hidden="false" customHeight="false" outlineLevel="0" collapsed="false">
      <c r="A697" s="15"/>
      <c r="B697" s="16"/>
      <c r="C697" s="13" t="str">
        <f aca="false">IFERROR(IF(B697="","",VLOOKUP(B697,Inventory!A:B,2,FALSE())),"")</f>
        <v/>
      </c>
      <c r="D697" s="16"/>
      <c r="E697" s="16"/>
      <c r="F697" s="15"/>
      <c r="G697" s="15"/>
      <c r="H697" s="17" t="str">
        <f aca="true">IF(AND(A697&lt;&gt;"",G697="",F697&lt;&gt;"",F697&lt;TODAY()),TODAY()-F697,"")</f>
        <v/>
      </c>
      <c r="I697" s="16"/>
    </row>
    <row r="698" customFormat="false" ht="15" hidden="false" customHeight="false" outlineLevel="0" collapsed="false">
      <c r="A698" s="15"/>
      <c r="B698" s="16"/>
      <c r="C698" s="13" t="str">
        <f aca="false">IFERROR(IF(B698="","",VLOOKUP(B698,Inventory!A:B,2,FALSE())),"")</f>
        <v/>
      </c>
      <c r="D698" s="16"/>
      <c r="E698" s="16"/>
      <c r="F698" s="15"/>
      <c r="G698" s="15"/>
      <c r="H698" s="17" t="str">
        <f aca="true">IF(AND(A698&lt;&gt;"",G698="",F698&lt;&gt;"",F698&lt;TODAY()),TODAY()-F698,"")</f>
        <v/>
      </c>
      <c r="I698" s="16"/>
    </row>
    <row r="699" customFormat="false" ht="15" hidden="false" customHeight="false" outlineLevel="0" collapsed="false">
      <c r="A699" s="15"/>
      <c r="B699" s="16"/>
      <c r="C699" s="13" t="str">
        <f aca="false">IFERROR(IF(B699="","",VLOOKUP(B699,Inventory!A:B,2,FALSE())),"")</f>
        <v/>
      </c>
      <c r="D699" s="16"/>
      <c r="E699" s="16"/>
      <c r="F699" s="15"/>
      <c r="G699" s="15"/>
      <c r="H699" s="17" t="str">
        <f aca="true">IF(AND(A699&lt;&gt;"",G699="",F699&lt;&gt;"",F699&lt;TODAY()),TODAY()-F699,"")</f>
        <v/>
      </c>
      <c r="I699" s="16"/>
    </row>
    <row r="700" customFormat="false" ht="15" hidden="false" customHeight="false" outlineLevel="0" collapsed="false">
      <c r="A700" s="15"/>
      <c r="B700" s="16"/>
      <c r="C700" s="13" t="str">
        <f aca="false">IFERROR(IF(B700="","",VLOOKUP(B700,Inventory!A:B,2,FALSE())),"")</f>
        <v/>
      </c>
      <c r="D700" s="16"/>
      <c r="E700" s="16"/>
      <c r="F700" s="15"/>
      <c r="G700" s="15"/>
      <c r="H700" s="17" t="str">
        <f aca="true">IF(AND(A700&lt;&gt;"",G700="",F700&lt;&gt;"",F700&lt;TODAY()),TODAY()-F700,"")</f>
        <v/>
      </c>
      <c r="I700" s="16"/>
    </row>
    <row r="701" customFormat="false" ht="15" hidden="false" customHeight="false" outlineLevel="0" collapsed="false">
      <c r="A701" s="15"/>
      <c r="B701" s="16"/>
      <c r="C701" s="13" t="str">
        <f aca="false">IFERROR(IF(B701="","",VLOOKUP(B701,Inventory!A:B,2,FALSE())),"")</f>
        <v/>
      </c>
      <c r="D701" s="16"/>
      <c r="E701" s="16"/>
      <c r="F701" s="15"/>
      <c r="G701" s="15"/>
      <c r="H701" s="17" t="str">
        <f aca="true">IF(AND(A701&lt;&gt;"",G701="",F701&lt;&gt;"",F701&lt;TODAY()),TODAY()-F701,"")</f>
        <v/>
      </c>
      <c r="I701" s="16"/>
    </row>
    <row r="702" customFormat="false" ht="15" hidden="false" customHeight="false" outlineLevel="0" collapsed="false">
      <c r="A702" s="15"/>
      <c r="B702" s="16"/>
      <c r="C702" s="13" t="str">
        <f aca="false">IFERROR(IF(B702="","",VLOOKUP(B702,Inventory!A:B,2,FALSE())),"")</f>
        <v/>
      </c>
      <c r="D702" s="16"/>
      <c r="E702" s="16"/>
      <c r="F702" s="15"/>
      <c r="G702" s="15"/>
      <c r="H702" s="17" t="str">
        <f aca="true">IF(AND(A702&lt;&gt;"",G702="",F702&lt;&gt;"",F702&lt;TODAY()),TODAY()-F702,"")</f>
        <v/>
      </c>
      <c r="I702" s="16"/>
    </row>
    <row r="703" customFormat="false" ht="15" hidden="false" customHeight="false" outlineLevel="0" collapsed="false">
      <c r="A703" s="15"/>
      <c r="B703" s="16"/>
      <c r="C703" s="13" t="str">
        <f aca="false">IFERROR(IF(B703="","",VLOOKUP(B703,Inventory!A:B,2,FALSE())),"")</f>
        <v/>
      </c>
      <c r="D703" s="16"/>
      <c r="E703" s="16"/>
      <c r="F703" s="15"/>
      <c r="G703" s="15"/>
      <c r="H703" s="17" t="str">
        <f aca="true">IF(AND(A703&lt;&gt;"",G703="",F703&lt;&gt;"",F703&lt;TODAY()),TODAY()-F703,"")</f>
        <v/>
      </c>
      <c r="I703" s="16"/>
    </row>
    <row r="704" customFormat="false" ht="15" hidden="false" customHeight="false" outlineLevel="0" collapsed="false">
      <c r="A704" s="15"/>
      <c r="B704" s="16"/>
      <c r="C704" s="13" t="str">
        <f aca="false">IFERROR(IF(B704="","",VLOOKUP(B704,Inventory!A:B,2,FALSE())),"")</f>
        <v/>
      </c>
      <c r="D704" s="16"/>
      <c r="E704" s="16"/>
      <c r="F704" s="15"/>
      <c r="G704" s="15"/>
      <c r="H704" s="17" t="str">
        <f aca="true">IF(AND(A704&lt;&gt;"",G704="",F704&lt;&gt;"",F704&lt;TODAY()),TODAY()-F704,"")</f>
        <v/>
      </c>
      <c r="I704" s="16"/>
    </row>
    <row r="705" customFormat="false" ht="15" hidden="false" customHeight="false" outlineLevel="0" collapsed="false">
      <c r="A705" s="15"/>
      <c r="B705" s="16"/>
      <c r="C705" s="13" t="str">
        <f aca="false">IFERROR(IF(B705="","",VLOOKUP(B705,Inventory!A:B,2,FALSE())),"")</f>
        <v/>
      </c>
      <c r="D705" s="16"/>
      <c r="E705" s="16"/>
      <c r="F705" s="15"/>
      <c r="G705" s="15"/>
      <c r="H705" s="17" t="str">
        <f aca="true">IF(AND(A705&lt;&gt;"",G705="",F705&lt;&gt;"",F705&lt;TODAY()),TODAY()-F705,"")</f>
        <v/>
      </c>
      <c r="I705" s="16"/>
    </row>
    <row r="706" customFormat="false" ht="15" hidden="false" customHeight="false" outlineLevel="0" collapsed="false">
      <c r="A706" s="15"/>
      <c r="B706" s="16"/>
      <c r="C706" s="13" t="str">
        <f aca="false">IFERROR(IF(B706="","",VLOOKUP(B706,Inventory!A:B,2,FALSE())),"")</f>
        <v/>
      </c>
      <c r="D706" s="16"/>
      <c r="E706" s="16"/>
      <c r="F706" s="15"/>
      <c r="G706" s="15"/>
      <c r="H706" s="17" t="str">
        <f aca="true">IF(AND(A706&lt;&gt;"",G706="",F706&lt;&gt;"",F706&lt;TODAY()),TODAY()-F706,"")</f>
        <v/>
      </c>
      <c r="I706" s="16"/>
    </row>
    <row r="707" customFormat="false" ht="15" hidden="false" customHeight="false" outlineLevel="0" collapsed="false">
      <c r="A707" s="15"/>
      <c r="B707" s="16"/>
      <c r="C707" s="13" t="str">
        <f aca="false">IFERROR(IF(B707="","",VLOOKUP(B707,Inventory!A:B,2,FALSE())),"")</f>
        <v/>
      </c>
      <c r="D707" s="16"/>
      <c r="E707" s="16"/>
      <c r="F707" s="15"/>
      <c r="G707" s="15"/>
      <c r="H707" s="17" t="str">
        <f aca="true">IF(AND(A707&lt;&gt;"",G707="",F707&lt;&gt;"",F707&lt;TODAY()),TODAY()-F707,"")</f>
        <v/>
      </c>
      <c r="I707" s="16"/>
    </row>
    <row r="708" customFormat="false" ht="15" hidden="false" customHeight="false" outlineLevel="0" collapsed="false">
      <c r="A708" s="15"/>
      <c r="B708" s="16"/>
      <c r="C708" s="13" t="str">
        <f aca="false">IFERROR(IF(B708="","",VLOOKUP(B708,Inventory!A:B,2,FALSE())),"")</f>
        <v/>
      </c>
      <c r="D708" s="16"/>
      <c r="E708" s="16"/>
      <c r="F708" s="15"/>
      <c r="G708" s="15"/>
      <c r="H708" s="17" t="str">
        <f aca="true">IF(AND(A708&lt;&gt;"",G708="",F708&lt;&gt;"",F708&lt;TODAY()),TODAY()-F708,"")</f>
        <v/>
      </c>
      <c r="I708" s="16"/>
    </row>
    <row r="709" customFormat="false" ht="15" hidden="false" customHeight="false" outlineLevel="0" collapsed="false">
      <c r="A709" s="15"/>
      <c r="B709" s="16"/>
      <c r="C709" s="13" t="str">
        <f aca="false">IFERROR(IF(B709="","",VLOOKUP(B709,Inventory!A:B,2,FALSE())),"")</f>
        <v/>
      </c>
      <c r="D709" s="16"/>
      <c r="E709" s="16"/>
      <c r="F709" s="15"/>
      <c r="G709" s="15"/>
      <c r="H709" s="17" t="str">
        <f aca="true">IF(AND(A709&lt;&gt;"",G709="",F709&lt;&gt;"",F709&lt;TODAY()),TODAY()-F709,"")</f>
        <v/>
      </c>
      <c r="I709" s="16"/>
    </row>
    <row r="710" customFormat="false" ht="15" hidden="false" customHeight="false" outlineLevel="0" collapsed="false">
      <c r="A710" s="15"/>
      <c r="B710" s="16"/>
      <c r="C710" s="13" t="str">
        <f aca="false">IFERROR(IF(B710="","",VLOOKUP(B710,Inventory!A:B,2,FALSE())),"")</f>
        <v/>
      </c>
      <c r="D710" s="16"/>
      <c r="E710" s="16"/>
      <c r="F710" s="15"/>
      <c r="G710" s="15"/>
      <c r="H710" s="17" t="str">
        <f aca="true">IF(AND(A710&lt;&gt;"",G710="",F710&lt;&gt;"",F710&lt;TODAY()),TODAY()-F710,"")</f>
        <v/>
      </c>
      <c r="I710" s="16"/>
    </row>
    <row r="711" customFormat="false" ht="15" hidden="false" customHeight="false" outlineLevel="0" collapsed="false">
      <c r="A711" s="15"/>
      <c r="B711" s="16"/>
      <c r="C711" s="13" t="str">
        <f aca="false">IFERROR(IF(B711="","",VLOOKUP(B711,Inventory!A:B,2,FALSE())),"")</f>
        <v/>
      </c>
      <c r="D711" s="16"/>
      <c r="E711" s="16"/>
      <c r="F711" s="15"/>
      <c r="G711" s="15"/>
      <c r="H711" s="17" t="str">
        <f aca="true">IF(AND(A711&lt;&gt;"",G711="",F711&lt;&gt;"",F711&lt;TODAY()),TODAY()-F711,"")</f>
        <v/>
      </c>
      <c r="I711" s="16"/>
    </row>
    <row r="712" customFormat="false" ht="15" hidden="false" customHeight="false" outlineLevel="0" collapsed="false">
      <c r="A712" s="15"/>
      <c r="B712" s="16"/>
      <c r="C712" s="13" t="str">
        <f aca="false">IFERROR(IF(B712="","",VLOOKUP(B712,Inventory!A:B,2,FALSE())),"")</f>
        <v/>
      </c>
      <c r="D712" s="16"/>
      <c r="E712" s="16"/>
      <c r="F712" s="15"/>
      <c r="G712" s="15"/>
      <c r="H712" s="17" t="str">
        <f aca="true">IF(AND(A712&lt;&gt;"",G712="",F712&lt;&gt;"",F712&lt;TODAY()),TODAY()-F712,"")</f>
        <v/>
      </c>
      <c r="I712" s="16"/>
    </row>
    <row r="713" customFormat="false" ht="15" hidden="false" customHeight="false" outlineLevel="0" collapsed="false">
      <c r="A713" s="15"/>
      <c r="B713" s="16"/>
      <c r="C713" s="13" t="str">
        <f aca="false">IFERROR(IF(B713="","",VLOOKUP(B713,Inventory!A:B,2,FALSE())),"")</f>
        <v/>
      </c>
      <c r="D713" s="16"/>
      <c r="E713" s="16"/>
      <c r="F713" s="15"/>
      <c r="G713" s="15"/>
      <c r="H713" s="17" t="str">
        <f aca="true">IF(AND(A713&lt;&gt;"",G713="",F713&lt;&gt;"",F713&lt;TODAY()),TODAY()-F713,"")</f>
        <v/>
      </c>
      <c r="I713" s="16"/>
    </row>
    <row r="714" customFormat="false" ht="15" hidden="false" customHeight="false" outlineLevel="0" collapsed="false">
      <c r="A714" s="15"/>
      <c r="B714" s="16"/>
      <c r="C714" s="13" t="str">
        <f aca="false">IFERROR(IF(B714="","",VLOOKUP(B714,Inventory!A:B,2,FALSE())),"")</f>
        <v/>
      </c>
      <c r="D714" s="16"/>
      <c r="E714" s="16"/>
      <c r="F714" s="15"/>
      <c r="G714" s="15"/>
      <c r="H714" s="17" t="str">
        <f aca="true">IF(AND(A714&lt;&gt;"",G714="",F714&lt;&gt;"",F714&lt;TODAY()),TODAY()-F714,"")</f>
        <v/>
      </c>
      <c r="I714" s="16"/>
    </row>
    <row r="715" customFormat="false" ht="15" hidden="false" customHeight="false" outlineLevel="0" collapsed="false">
      <c r="A715" s="15"/>
      <c r="B715" s="16"/>
      <c r="C715" s="13" t="str">
        <f aca="false">IFERROR(IF(B715="","",VLOOKUP(B715,Inventory!A:B,2,FALSE())),"")</f>
        <v/>
      </c>
      <c r="D715" s="16"/>
      <c r="E715" s="16"/>
      <c r="F715" s="15"/>
      <c r="G715" s="15"/>
      <c r="H715" s="17" t="str">
        <f aca="true">IF(AND(A715&lt;&gt;"",G715="",F715&lt;&gt;"",F715&lt;TODAY()),TODAY()-F715,"")</f>
        <v/>
      </c>
      <c r="I715" s="16"/>
    </row>
    <row r="716" customFormat="false" ht="15" hidden="false" customHeight="false" outlineLevel="0" collapsed="false">
      <c r="A716" s="15"/>
      <c r="B716" s="16"/>
      <c r="C716" s="13" t="str">
        <f aca="false">IFERROR(IF(B716="","",VLOOKUP(B716,Inventory!A:B,2,FALSE())),"")</f>
        <v/>
      </c>
      <c r="D716" s="16"/>
      <c r="E716" s="16"/>
      <c r="F716" s="15"/>
      <c r="G716" s="15"/>
      <c r="H716" s="17" t="str">
        <f aca="true">IF(AND(A716&lt;&gt;"",G716="",F716&lt;&gt;"",F716&lt;TODAY()),TODAY()-F716,"")</f>
        <v/>
      </c>
      <c r="I716" s="16"/>
    </row>
    <row r="717" customFormat="false" ht="15" hidden="false" customHeight="false" outlineLevel="0" collapsed="false">
      <c r="A717" s="15"/>
      <c r="B717" s="16"/>
      <c r="C717" s="13" t="str">
        <f aca="false">IFERROR(IF(B717="","",VLOOKUP(B717,Inventory!A:B,2,FALSE())),"")</f>
        <v/>
      </c>
      <c r="D717" s="16"/>
      <c r="E717" s="16"/>
      <c r="F717" s="15"/>
      <c r="G717" s="15"/>
      <c r="H717" s="17" t="str">
        <f aca="true">IF(AND(A717&lt;&gt;"",G717="",F717&lt;&gt;"",F717&lt;TODAY()),TODAY()-F717,"")</f>
        <v/>
      </c>
      <c r="I717" s="16"/>
    </row>
    <row r="718" customFormat="false" ht="15" hidden="false" customHeight="false" outlineLevel="0" collapsed="false">
      <c r="A718" s="15"/>
      <c r="B718" s="16"/>
      <c r="C718" s="13" t="str">
        <f aca="false">IFERROR(IF(B718="","",VLOOKUP(B718,Inventory!A:B,2,FALSE())),"")</f>
        <v/>
      </c>
      <c r="D718" s="16"/>
      <c r="E718" s="16"/>
      <c r="F718" s="15"/>
      <c r="G718" s="15"/>
      <c r="H718" s="17" t="str">
        <f aca="true">IF(AND(A718&lt;&gt;"",G718="",F718&lt;&gt;"",F718&lt;TODAY()),TODAY()-F718,"")</f>
        <v/>
      </c>
      <c r="I718" s="16"/>
    </row>
    <row r="719" customFormat="false" ht="15" hidden="false" customHeight="false" outlineLevel="0" collapsed="false">
      <c r="A719" s="15"/>
      <c r="B719" s="16"/>
      <c r="C719" s="13" t="str">
        <f aca="false">IFERROR(IF(B719="","",VLOOKUP(B719,Inventory!A:B,2,FALSE())),"")</f>
        <v/>
      </c>
      <c r="D719" s="16"/>
      <c r="E719" s="16"/>
      <c r="F719" s="15"/>
      <c r="G719" s="15"/>
      <c r="H719" s="17" t="str">
        <f aca="true">IF(AND(A719&lt;&gt;"",G719="",F719&lt;&gt;"",F719&lt;TODAY()),TODAY()-F719,"")</f>
        <v/>
      </c>
      <c r="I719" s="16"/>
    </row>
    <row r="720" customFormat="false" ht="15" hidden="false" customHeight="false" outlineLevel="0" collapsed="false">
      <c r="A720" s="15"/>
      <c r="B720" s="16"/>
      <c r="C720" s="13" t="str">
        <f aca="false">IFERROR(IF(B720="","",VLOOKUP(B720,Inventory!A:B,2,FALSE())),"")</f>
        <v/>
      </c>
      <c r="D720" s="16"/>
      <c r="E720" s="16"/>
      <c r="F720" s="15"/>
      <c r="G720" s="15"/>
      <c r="H720" s="17" t="str">
        <f aca="true">IF(AND(A720&lt;&gt;"",G720="",F720&lt;&gt;"",F720&lt;TODAY()),TODAY()-F720,"")</f>
        <v/>
      </c>
      <c r="I720" s="16"/>
    </row>
    <row r="721" customFormat="false" ht="15" hidden="false" customHeight="false" outlineLevel="0" collapsed="false">
      <c r="A721" s="15"/>
      <c r="B721" s="16"/>
      <c r="C721" s="13" t="str">
        <f aca="false">IFERROR(IF(B721="","",VLOOKUP(B721,Inventory!A:B,2,FALSE())),"")</f>
        <v/>
      </c>
      <c r="D721" s="16"/>
      <c r="E721" s="16"/>
      <c r="F721" s="15"/>
      <c r="G721" s="15"/>
      <c r="H721" s="17" t="str">
        <f aca="true">IF(AND(A721&lt;&gt;"",G721="",F721&lt;&gt;"",F721&lt;TODAY()),TODAY()-F721,"")</f>
        <v/>
      </c>
      <c r="I721" s="16"/>
    </row>
    <row r="722" customFormat="false" ht="15" hidden="false" customHeight="false" outlineLevel="0" collapsed="false">
      <c r="A722" s="15"/>
      <c r="B722" s="16"/>
      <c r="C722" s="13" t="str">
        <f aca="false">IFERROR(IF(B722="","",VLOOKUP(B722,Inventory!A:B,2,FALSE())),"")</f>
        <v/>
      </c>
      <c r="D722" s="16"/>
      <c r="E722" s="16"/>
      <c r="F722" s="15"/>
      <c r="G722" s="15"/>
      <c r="H722" s="17" t="str">
        <f aca="true">IF(AND(A722&lt;&gt;"",G722="",F722&lt;&gt;"",F722&lt;TODAY()),TODAY()-F722,"")</f>
        <v/>
      </c>
      <c r="I722" s="16"/>
    </row>
    <row r="723" customFormat="false" ht="15" hidden="false" customHeight="false" outlineLevel="0" collapsed="false">
      <c r="A723" s="15"/>
      <c r="B723" s="16"/>
      <c r="C723" s="13" t="str">
        <f aca="false">IFERROR(IF(B723="","",VLOOKUP(B723,Inventory!A:B,2,FALSE())),"")</f>
        <v/>
      </c>
      <c r="D723" s="16"/>
      <c r="E723" s="16"/>
      <c r="F723" s="15"/>
      <c r="G723" s="15"/>
      <c r="H723" s="17" t="str">
        <f aca="true">IF(AND(A723&lt;&gt;"",G723="",F723&lt;&gt;"",F723&lt;TODAY()),TODAY()-F723,"")</f>
        <v/>
      </c>
      <c r="I723" s="16"/>
    </row>
    <row r="724" customFormat="false" ht="15" hidden="false" customHeight="false" outlineLevel="0" collapsed="false">
      <c r="A724" s="15"/>
      <c r="B724" s="16"/>
      <c r="C724" s="13" t="str">
        <f aca="false">IFERROR(IF(B724="","",VLOOKUP(B724,Inventory!A:B,2,FALSE())),"")</f>
        <v/>
      </c>
      <c r="D724" s="16"/>
      <c r="E724" s="16"/>
      <c r="F724" s="15"/>
      <c r="G724" s="15"/>
      <c r="H724" s="17" t="str">
        <f aca="true">IF(AND(A724&lt;&gt;"",G724="",F724&lt;&gt;"",F724&lt;TODAY()),TODAY()-F724,"")</f>
        <v/>
      </c>
      <c r="I724" s="16"/>
    </row>
    <row r="725" customFormat="false" ht="15" hidden="false" customHeight="false" outlineLevel="0" collapsed="false">
      <c r="A725" s="15"/>
      <c r="B725" s="16"/>
      <c r="C725" s="13" t="str">
        <f aca="false">IFERROR(IF(B725="","",VLOOKUP(B725,Inventory!A:B,2,FALSE())),"")</f>
        <v/>
      </c>
      <c r="D725" s="16"/>
      <c r="E725" s="16"/>
      <c r="F725" s="15"/>
      <c r="G725" s="15"/>
      <c r="H725" s="17" t="str">
        <f aca="true">IF(AND(A725&lt;&gt;"",G725="",F725&lt;&gt;"",F725&lt;TODAY()),TODAY()-F725,"")</f>
        <v/>
      </c>
      <c r="I725" s="16"/>
    </row>
    <row r="726" customFormat="false" ht="15" hidden="false" customHeight="false" outlineLevel="0" collapsed="false">
      <c r="A726" s="15"/>
      <c r="B726" s="16"/>
      <c r="C726" s="13" t="str">
        <f aca="false">IFERROR(IF(B726="","",VLOOKUP(B726,Inventory!A:B,2,FALSE())),"")</f>
        <v/>
      </c>
      <c r="D726" s="16"/>
      <c r="E726" s="16"/>
      <c r="F726" s="15"/>
      <c r="G726" s="15"/>
      <c r="H726" s="17" t="str">
        <f aca="true">IF(AND(A726&lt;&gt;"",G726="",F726&lt;&gt;"",F726&lt;TODAY()),TODAY()-F726,"")</f>
        <v/>
      </c>
      <c r="I726" s="16"/>
    </row>
    <row r="727" customFormat="false" ht="15" hidden="false" customHeight="false" outlineLevel="0" collapsed="false">
      <c r="A727" s="15"/>
      <c r="B727" s="16"/>
      <c r="C727" s="13" t="str">
        <f aca="false">IFERROR(IF(B727="","",VLOOKUP(B727,Inventory!A:B,2,FALSE())),"")</f>
        <v/>
      </c>
      <c r="D727" s="16"/>
      <c r="E727" s="16"/>
      <c r="F727" s="15"/>
      <c r="G727" s="15"/>
      <c r="H727" s="17" t="str">
        <f aca="true">IF(AND(A727&lt;&gt;"",G727="",F727&lt;&gt;"",F727&lt;TODAY()),TODAY()-F727,"")</f>
        <v/>
      </c>
      <c r="I727" s="16"/>
    </row>
    <row r="728" customFormat="false" ht="15" hidden="false" customHeight="false" outlineLevel="0" collapsed="false">
      <c r="A728" s="15"/>
      <c r="B728" s="16"/>
      <c r="C728" s="13" t="str">
        <f aca="false">IFERROR(IF(B728="","",VLOOKUP(B728,Inventory!A:B,2,FALSE())),"")</f>
        <v/>
      </c>
      <c r="D728" s="16"/>
      <c r="E728" s="16"/>
      <c r="F728" s="15"/>
      <c r="G728" s="15"/>
      <c r="H728" s="17" t="str">
        <f aca="true">IF(AND(A728&lt;&gt;"",G728="",F728&lt;&gt;"",F728&lt;TODAY()),TODAY()-F728,"")</f>
        <v/>
      </c>
      <c r="I728" s="16"/>
    </row>
    <row r="729" customFormat="false" ht="15" hidden="false" customHeight="false" outlineLevel="0" collapsed="false">
      <c r="A729" s="15"/>
      <c r="B729" s="16"/>
      <c r="C729" s="13" t="str">
        <f aca="false">IFERROR(IF(B729="","",VLOOKUP(B729,Inventory!A:B,2,FALSE())),"")</f>
        <v/>
      </c>
      <c r="D729" s="16"/>
      <c r="E729" s="16"/>
      <c r="F729" s="15"/>
      <c r="G729" s="15"/>
      <c r="H729" s="17" t="str">
        <f aca="true">IF(AND(A729&lt;&gt;"",G729="",F729&lt;&gt;"",F729&lt;TODAY()),TODAY()-F729,"")</f>
        <v/>
      </c>
      <c r="I729" s="16"/>
    </row>
    <row r="730" customFormat="false" ht="15" hidden="false" customHeight="false" outlineLevel="0" collapsed="false">
      <c r="A730" s="15"/>
      <c r="B730" s="16"/>
      <c r="C730" s="13" t="str">
        <f aca="false">IFERROR(IF(B730="","",VLOOKUP(B730,Inventory!A:B,2,FALSE())),"")</f>
        <v/>
      </c>
      <c r="D730" s="16"/>
      <c r="E730" s="16"/>
      <c r="F730" s="15"/>
      <c r="G730" s="15"/>
      <c r="H730" s="17" t="str">
        <f aca="true">IF(AND(A730&lt;&gt;"",G730="",F730&lt;&gt;"",F730&lt;TODAY()),TODAY()-F730,"")</f>
        <v/>
      </c>
      <c r="I730" s="16"/>
    </row>
    <row r="731" customFormat="false" ht="15" hidden="false" customHeight="false" outlineLevel="0" collapsed="false">
      <c r="A731" s="15"/>
      <c r="B731" s="16"/>
      <c r="C731" s="13" t="str">
        <f aca="false">IFERROR(IF(B731="","",VLOOKUP(B731,Inventory!A:B,2,FALSE())),"")</f>
        <v/>
      </c>
      <c r="D731" s="16"/>
      <c r="E731" s="16"/>
      <c r="F731" s="15"/>
      <c r="G731" s="15"/>
      <c r="H731" s="17" t="str">
        <f aca="true">IF(AND(A731&lt;&gt;"",G731="",F731&lt;&gt;"",F731&lt;TODAY()),TODAY()-F731,"")</f>
        <v/>
      </c>
      <c r="I731" s="16"/>
    </row>
    <row r="732" customFormat="false" ht="15" hidden="false" customHeight="false" outlineLevel="0" collapsed="false">
      <c r="A732" s="15"/>
      <c r="B732" s="16"/>
      <c r="C732" s="13" t="str">
        <f aca="false">IFERROR(IF(B732="","",VLOOKUP(B732,Inventory!A:B,2,FALSE())),"")</f>
        <v/>
      </c>
      <c r="D732" s="16"/>
      <c r="E732" s="16"/>
      <c r="F732" s="15"/>
      <c r="G732" s="15"/>
      <c r="H732" s="17" t="str">
        <f aca="true">IF(AND(A732&lt;&gt;"",G732="",F732&lt;&gt;"",F732&lt;TODAY()),TODAY()-F732,"")</f>
        <v/>
      </c>
      <c r="I732" s="16"/>
    </row>
    <row r="733" customFormat="false" ht="15" hidden="false" customHeight="false" outlineLevel="0" collapsed="false">
      <c r="A733" s="15"/>
      <c r="B733" s="16"/>
      <c r="C733" s="13" t="str">
        <f aca="false">IFERROR(IF(B733="","",VLOOKUP(B733,Inventory!A:B,2,FALSE())),"")</f>
        <v/>
      </c>
      <c r="D733" s="16"/>
      <c r="E733" s="16"/>
      <c r="F733" s="15"/>
      <c r="G733" s="15"/>
      <c r="H733" s="17" t="str">
        <f aca="true">IF(AND(A733&lt;&gt;"",G733="",F733&lt;&gt;"",F733&lt;TODAY()),TODAY()-F733,"")</f>
        <v/>
      </c>
      <c r="I733" s="16"/>
    </row>
    <row r="734" customFormat="false" ht="15" hidden="false" customHeight="false" outlineLevel="0" collapsed="false">
      <c r="A734" s="15"/>
      <c r="B734" s="16"/>
      <c r="C734" s="13" t="str">
        <f aca="false">IFERROR(IF(B734="","",VLOOKUP(B734,Inventory!A:B,2,FALSE())),"")</f>
        <v/>
      </c>
      <c r="D734" s="16"/>
      <c r="E734" s="16"/>
      <c r="F734" s="15"/>
      <c r="G734" s="15"/>
      <c r="H734" s="17" t="str">
        <f aca="true">IF(AND(A734&lt;&gt;"",G734="",F734&lt;&gt;"",F734&lt;TODAY()),TODAY()-F734,"")</f>
        <v/>
      </c>
      <c r="I734" s="16"/>
    </row>
    <row r="735" customFormat="false" ht="15" hidden="false" customHeight="false" outlineLevel="0" collapsed="false">
      <c r="A735" s="15"/>
      <c r="B735" s="16"/>
      <c r="C735" s="13" t="str">
        <f aca="false">IFERROR(IF(B735="","",VLOOKUP(B735,Inventory!A:B,2,FALSE())),"")</f>
        <v/>
      </c>
      <c r="D735" s="16"/>
      <c r="E735" s="16"/>
      <c r="F735" s="15"/>
      <c r="G735" s="15"/>
      <c r="H735" s="17" t="str">
        <f aca="true">IF(AND(A735&lt;&gt;"",G735="",F735&lt;&gt;"",F735&lt;TODAY()),TODAY()-F735,"")</f>
        <v/>
      </c>
      <c r="I735" s="16"/>
    </row>
    <row r="736" customFormat="false" ht="15" hidden="false" customHeight="false" outlineLevel="0" collapsed="false">
      <c r="A736" s="15"/>
      <c r="B736" s="16"/>
      <c r="C736" s="13" t="str">
        <f aca="false">IFERROR(IF(B736="","",VLOOKUP(B736,Inventory!A:B,2,FALSE())),"")</f>
        <v/>
      </c>
      <c r="D736" s="16"/>
      <c r="E736" s="16"/>
      <c r="F736" s="15"/>
      <c r="G736" s="15"/>
      <c r="H736" s="17" t="str">
        <f aca="true">IF(AND(A736&lt;&gt;"",G736="",F736&lt;&gt;"",F736&lt;TODAY()),TODAY()-F736,"")</f>
        <v/>
      </c>
      <c r="I736" s="16"/>
    </row>
    <row r="737" customFormat="false" ht="15" hidden="false" customHeight="false" outlineLevel="0" collapsed="false">
      <c r="A737" s="15"/>
      <c r="B737" s="16"/>
      <c r="C737" s="13" t="str">
        <f aca="false">IFERROR(IF(B737="","",VLOOKUP(B737,Inventory!A:B,2,FALSE())),"")</f>
        <v/>
      </c>
      <c r="D737" s="16"/>
      <c r="E737" s="16"/>
      <c r="F737" s="15"/>
      <c r="G737" s="15"/>
      <c r="H737" s="17" t="str">
        <f aca="true">IF(AND(A737&lt;&gt;"",G737="",F737&lt;&gt;"",F737&lt;TODAY()),TODAY()-F737,"")</f>
        <v/>
      </c>
      <c r="I737" s="16"/>
    </row>
    <row r="738" customFormat="false" ht="15" hidden="false" customHeight="false" outlineLevel="0" collapsed="false">
      <c r="A738" s="15"/>
      <c r="B738" s="16"/>
      <c r="C738" s="13" t="str">
        <f aca="false">IFERROR(IF(B738="","",VLOOKUP(B738,Inventory!A:B,2,FALSE())),"")</f>
        <v/>
      </c>
      <c r="D738" s="16"/>
      <c r="E738" s="16"/>
      <c r="F738" s="15"/>
      <c r="G738" s="15"/>
      <c r="H738" s="17" t="str">
        <f aca="true">IF(AND(A738&lt;&gt;"",G738="",F738&lt;&gt;"",F738&lt;TODAY()),TODAY()-F738,"")</f>
        <v/>
      </c>
      <c r="I738" s="16"/>
    </row>
    <row r="739" customFormat="false" ht="15" hidden="false" customHeight="false" outlineLevel="0" collapsed="false">
      <c r="A739" s="15"/>
      <c r="B739" s="16"/>
      <c r="C739" s="13" t="str">
        <f aca="false">IFERROR(IF(B739="","",VLOOKUP(B739,Inventory!A:B,2,FALSE())),"")</f>
        <v/>
      </c>
      <c r="D739" s="16"/>
      <c r="E739" s="16"/>
      <c r="F739" s="15"/>
      <c r="G739" s="15"/>
      <c r="H739" s="17" t="str">
        <f aca="true">IF(AND(A739&lt;&gt;"",G739="",F739&lt;&gt;"",F739&lt;TODAY()),TODAY()-F739,"")</f>
        <v/>
      </c>
      <c r="I739" s="16"/>
    </row>
    <row r="740" customFormat="false" ht="15" hidden="false" customHeight="false" outlineLevel="0" collapsed="false">
      <c r="A740" s="15"/>
      <c r="B740" s="16"/>
      <c r="C740" s="13" t="str">
        <f aca="false">IFERROR(IF(B740="","",VLOOKUP(B740,Inventory!A:B,2,FALSE())),"")</f>
        <v/>
      </c>
      <c r="D740" s="16"/>
      <c r="E740" s="16"/>
      <c r="F740" s="15"/>
      <c r="G740" s="15"/>
      <c r="H740" s="17" t="str">
        <f aca="true">IF(AND(A740&lt;&gt;"",G740="",F740&lt;&gt;"",F740&lt;TODAY()),TODAY()-F740,"")</f>
        <v/>
      </c>
      <c r="I740" s="16"/>
    </row>
    <row r="741" customFormat="false" ht="15" hidden="false" customHeight="false" outlineLevel="0" collapsed="false">
      <c r="A741" s="15"/>
      <c r="B741" s="16"/>
      <c r="C741" s="13" t="str">
        <f aca="false">IFERROR(IF(B741="","",VLOOKUP(B741,Inventory!A:B,2,FALSE())),"")</f>
        <v/>
      </c>
      <c r="D741" s="16"/>
      <c r="E741" s="16"/>
      <c r="F741" s="15"/>
      <c r="G741" s="15"/>
      <c r="H741" s="17" t="str">
        <f aca="true">IF(AND(A741&lt;&gt;"",G741="",F741&lt;&gt;"",F741&lt;TODAY()),TODAY()-F741,"")</f>
        <v/>
      </c>
      <c r="I741" s="16"/>
    </row>
    <row r="742" customFormat="false" ht="15" hidden="false" customHeight="false" outlineLevel="0" collapsed="false">
      <c r="A742" s="15"/>
      <c r="B742" s="16"/>
      <c r="C742" s="13" t="str">
        <f aca="false">IFERROR(IF(B742="","",VLOOKUP(B742,Inventory!A:B,2,FALSE())),"")</f>
        <v/>
      </c>
      <c r="D742" s="16"/>
      <c r="E742" s="16"/>
      <c r="F742" s="15"/>
      <c r="G742" s="15"/>
      <c r="H742" s="17" t="str">
        <f aca="true">IF(AND(A742&lt;&gt;"",G742="",F742&lt;&gt;"",F742&lt;TODAY()),TODAY()-F742,"")</f>
        <v/>
      </c>
      <c r="I742" s="16"/>
    </row>
    <row r="743" customFormat="false" ht="15" hidden="false" customHeight="false" outlineLevel="0" collapsed="false">
      <c r="A743" s="15"/>
      <c r="B743" s="16"/>
      <c r="C743" s="13" t="str">
        <f aca="false">IFERROR(IF(B743="","",VLOOKUP(B743,Inventory!A:B,2,FALSE())),"")</f>
        <v/>
      </c>
      <c r="D743" s="16"/>
      <c r="E743" s="16"/>
      <c r="F743" s="15"/>
      <c r="G743" s="15"/>
      <c r="H743" s="17" t="str">
        <f aca="true">IF(AND(A743&lt;&gt;"",G743="",F743&lt;&gt;"",F743&lt;TODAY()),TODAY()-F743,"")</f>
        <v/>
      </c>
      <c r="I743" s="16"/>
    </row>
    <row r="744" customFormat="false" ht="15" hidden="false" customHeight="false" outlineLevel="0" collapsed="false">
      <c r="A744" s="15"/>
      <c r="B744" s="16"/>
      <c r="C744" s="13" t="str">
        <f aca="false">IFERROR(IF(B744="","",VLOOKUP(B744,Inventory!A:B,2,FALSE())),"")</f>
        <v/>
      </c>
      <c r="D744" s="16"/>
      <c r="E744" s="16"/>
      <c r="F744" s="15"/>
      <c r="G744" s="15"/>
      <c r="H744" s="17" t="str">
        <f aca="true">IF(AND(A744&lt;&gt;"",G744="",F744&lt;&gt;"",F744&lt;TODAY()),TODAY()-F744,"")</f>
        <v/>
      </c>
      <c r="I744" s="16"/>
    </row>
    <row r="745" customFormat="false" ht="15" hidden="false" customHeight="false" outlineLevel="0" collapsed="false">
      <c r="A745" s="15"/>
      <c r="B745" s="16"/>
      <c r="C745" s="13" t="str">
        <f aca="false">IFERROR(IF(B745="","",VLOOKUP(B745,Inventory!A:B,2,FALSE())),"")</f>
        <v/>
      </c>
      <c r="D745" s="16"/>
      <c r="E745" s="16"/>
      <c r="F745" s="15"/>
      <c r="G745" s="15"/>
      <c r="H745" s="17" t="str">
        <f aca="true">IF(AND(A745&lt;&gt;"",G745="",F745&lt;&gt;"",F745&lt;TODAY()),TODAY()-F745,"")</f>
        <v/>
      </c>
      <c r="I745" s="16"/>
    </row>
    <row r="746" customFormat="false" ht="15" hidden="false" customHeight="false" outlineLevel="0" collapsed="false">
      <c r="A746" s="15"/>
      <c r="B746" s="16"/>
      <c r="C746" s="13" t="str">
        <f aca="false">IFERROR(IF(B746="","",VLOOKUP(B746,Inventory!A:B,2,FALSE())),"")</f>
        <v/>
      </c>
      <c r="D746" s="16"/>
      <c r="E746" s="16"/>
      <c r="F746" s="15"/>
      <c r="G746" s="15"/>
      <c r="H746" s="17" t="str">
        <f aca="true">IF(AND(A746&lt;&gt;"",G746="",F746&lt;&gt;"",F746&lt;TODAY()),TODAY()-F746,"")</f>
        <v/>
      </c>
      <c r="I746" s="16"/>
    </row>
    <row r="747" customFormat="false" ht="15" hidden="false" customHeight="false" outlineLevel="0" collapsed="false">
      <c r="A747" s="15"/>
      <c r="B747" s="16"/>
      <c r="C747" s="13" t="str">
        <f aca="false">IFERROR(IF(B747="","",VLOOKUP(B747,Inventory!A:B,2,FALSE())),"")</f>
        <v/>
      </c>
      <c r="D747" s="16"/>
      <c r="E747" s="16"/>
      <c r="F747" s="15"/>
      <c r="G747" s="15"/>
      <c r="H747" s="17" t="str">
        <f aca="true">IF(AND(A747&lt;&gt;"",G747="",F747&lt;&gt;"",F747&lt;TODAY()),TODAY()-F747,"")</f>
        <v/>
      </c>
      <c r="I747" s="16"/>
    </row>
    <row r="748" customFormat="false" ht="15" hidden="false" customHeight="false" outlineLevel="0" collapsed="false">
      <c r="A748" s="15"/>
      <c r="B748" s="16"/>
      <c r="C748" s="13" t="str">
        <f aca="false">IFERROR(IF(B748="","",VLOOKUP(B748,Inventory!A:B,2,FALSE())),"")</f>
        <v/>
      </c>
      <c r="D748" s="16"/>
      <c r="E748" s="16"/>
      <c r="F748" s="15"/>
      <c r="G748" s="15"/>
      <c r="H748" s="17" t="str">
        <f aca="true">IF(AND(A748&lt;&gt;"",G748="",F748&lt;&gt;"",F748&lt;TODAY()),TODAY()-F748,"")</f>
        <v/>
      </c>
      <c r="I748" s="16"/>
    </row>
    <row r="749" customFormat="false" ht="15" hidden="false" customHeight="false" outlineLevel="0" collapsed="false">
      <c r="A749" s="15"/>
      <c r="B749" s="16"/>
      <c r="C749" s="13" t="str">
        <f aca="false">IFERROR(IF(B749="","",VLOOKUP(B749,Inventory!A:B,2,FALSE())),"")</f>
        <v/>
      </c>
      <c r="D749" s="16"/>
      <c r="E749" s="16"/>
      <c r="F749" s="15"/>
      <c r="G749" s="15"/>
      <c r="H749" s="17" t="str">
        <f aca="true">IF(AND(A749&lt;&gt;"",G749="",F749&lt;&gt;"",F749&lt;TODAY()),TODAY()-F749,"")</f>
        <v/>
      </c>
      <c r="I749" s="16"/>
    </row>
    <row r="750" customFormat="false" ht="15" hidden="false" customHeight="false" outlineLevel="0" collapsed="false">
      <c r="A750" s="15"/>
      <c r="B750" s="16"/>
      <c r="C750" s="13" t="str">
        <f aca="false">IFERROR(IF(B750="","",VLOOKUP(B750,Inventory!A:B,2,FALSE())),"")</f>
        <v/>
      </c>
      <c r="D750" s="16"/>
      <c r="E750" s="16"/>
      <c r="F750" s="15"/>
      <c r="G750" s="15"/>
      <c r="H750" s="17" t="str">
        <f aca="true">IF(AND(A750&lt;&gt;"",G750="",F750&lt;&gt;"",F750&lt;TODAY()),TODAY()-F750,"")</f>
        <v/>
      </c>
      <c r="I750" s="16"/>
    </row>
    <row r="751" customFormat="false" ht="15" hidden="false" customHeight="false" outlineLevel="0" collapsed="false">
      <c r="A751" s="15"/>
      <c r="B751" s="16"/>
      <c r="C751" s="13" t="str">
        <f aca="false">IFERROR(IF(B751="","",VLOOKUP(B751,Inventory!A:B,2,FALSE())),"")</f>
        <v/>
      </c>
      <c r="D751" s="16"/>
      <c r="E751" s="16"/>
      <c r="F751" s="15"/>
      <c r="G751" s="15"/>
      <c r="H751" s="17" t="str">
        <f aca="true">IF(AND(A751&lt;&gt;"",G751="",F751&lt;&gt;"",F751&lt;TODAY()),TODAY()-F751,"")</f>
        <v/>
      </c>
      <c r="I751" s="16"/>
    </row>
    <row r="752" customFormat="false" ht="15" hidden="false" customHeight="false" outlineLevel="0" collapsed="false">
      <c r="A752" s="15"/>
      <c r="B752" s="16"/>
      <c r="C752" s="13" t="str">
        <f aca="false">IFERROR(IF(B752="","",VLOOKUP(B752,Inventory!A:B,2,FALSE())),"")</f>
        <v/>
      </c>
      <c r="D752" s="16"/>
      <c r="E752" s="16"/>
      <c r="F752" s="15"/>
      <c r="G752" s="15"/>
      <c r="H752" s="17" t="str">
        <f aca="true">IF(AND(A752&lt;&gt;"",G752="",F752&lt;&gt;"",F752&lt;TODAY()),TODAY()-F752,"")</f>
        <v/>
      </c>
      <c r="I752" s="16"/>
    </row>
    <row r="753" customFormat="false" ht="15" hidden="false" customHeight="false" outlineLevel="0" collapsed="false">
      <c r="A753" s="15"/>
      <c r="B753" s="16"/>
      <c r="C753" s="13" t="str">
        <f aca="false">IFERROR(IF(B753="","",VLOOKUP(B753,Inventory!A:B,2,FALSE())),"")</f>
        <v/>
      </c>
      <c r="D753" s="16"/>
      <c r="E753" s="16"/>
      <c r="F753" s="15"/>
      <c r="G753" s="15"/>
      <c r="H753" s="17" t="str">
        <f aca="true">IF(AND(A753&lt;&gt;"",G753="",F753&lt;&gt;"",F753&lt;TODAY()),TODAY()-F753,"")</f>
        <v/>
      </c>
      <c r="I753" s="16"/>
    </row>
    <row r="754" customFormat="false" ht="15" hidden="false" customHeight="false" outlineLevel="0" collapsed="false">
      <c r="A754" s="15"/>
      <c r="B754" s="16"/>
      <c r="C754" s="13" t="str">
        <f aca="false">IFERROR(IF(B754="","",VLOOKUP(B754,Inventory!A:B,2,FALSE())),"")</f>
        <v/>
      </c>
      <c r="D754" s="16"/>
      <c r="E754" s="16"/>
      <c r="F754" s="15"/>
      <c r="G754" s="15"/>
      <c r="H754" s="17" t="str">
        <f aca="true">IF(AND(A754&lt;&gt;"",G754="",F754&lt;&gt;"",F754&lt;TODAY()),TODAY()-F754,"")</f>
        <v/>
      </c>
      <c r="I754" s="16"/>
    </row>
    <row r="755" customFormat="false" ht="15" hidden="false" customHeight="false" outlineLevel="0" collapsed="false">
      <c r="A755" s="15"/>
      <c r="B755" s="16"/>
      <c r="C755" s="13" t="str">
        <f aca="false">IFERROR(IF(B755="","",VLOOKUP(B755,Inventory!A:B,2,FALSE())),"")</f>
        <v/>
      </c>
      <c r="D755" s="16"/>
      <c r="E755" s="16"/>
      <c r="F755" s="15"/>
      <c r="G755" s="15"/>
      <c r="H755" s="17" t="str">
        <f aca="true">IF(AND(A755&lt;&gt;"",G755="",F755&lt;&gt;"",F755&lt;TODAY()),TODAY()-F755,"")</f>
        <v/>
      </c>
      <c r="I755" s="16"/>
    </row>
    <row r="756" customFormat="false" ht="15" hidden="false" customHeight="false" outlineLevel="0" collapsed="false">
      <c r="A756" s="15"/>
      <c r="B756" s="16"/>
      <c r="C756" s="13" t="str">
        <f aca="false">IFERROR(IF(B756="","",VLOOKUP(B756,Inventory!A:B,2,FALSE())),"")</f>
        <v/>
      </c>
      <c r="D756" s="16"/>
      <c r="E756" s="16"/>
      <c r="F756" s="15"/>
      <c r="G756" s="15"/>
      <c r="H756" s="17" t="str">
        <f aca="true">IF(AND(A756&lt;&gt;"",G756="",F756&lt;&gt;"",F756&lt;TODAY()),TODAY()-F756,"")</f>
        <v/>
      </c>
      <c r="I756" s="16"/>
    </row>
    <row r="757" customFormat="false" ht="15" hidden="false" customHeight="false" outlineLevel="0" collapsed="false">
      <c r="A757" s="15"/>
      <c r="B757" s="16"/>
      <c r="C757" s="13" t="str">
        <f aca="false">IFERROR(IF(B757="","",VLOOKUP(B757,Inventory!A:B,2,FALSE())),"")</f>
        <v/>
      </c>
      <c r="D757" s="16"/>
      <c r="E757" s="16"/>
      <c r="F757" s="15"/>
      <c r="G757" s="15"/>
      <c r="H757" s="17" t="str">
        <f aca="true">IF(AND(A757&lt;&gt;"",G757="",F757&lt;&gt;"",F757&lt;TODAY()),TODAY()-F757,"")</f>
        <v/>
      </c>
      <c r="I757" s="16"/>
    </row>
    <row r="758" customFormat="false" ht="15" hidden="false" customHeight="false" outlineLevel="0" collapsed="false">
      <c r="A758" s="15"/>
      <c r="B758" s="16"/>
      <c r="C758" s="13" t="str">
        <f aca="false">IFERROR(IF(B758="","",VLOOKUP(B758,Inventory!A:B,2,FALSE())),"")</f>
        <v/>
      </c>
      <c r="D758" s="16"/>
      <c r="E758" s="16"/>
      <c r="F758" s="15"/>
      <c r="G758" s="15"/>
      <c r="H758" s="17" t="str">
        <f aca="true">IF(AND(A758&lt;&gt;"",G758="",F758&lt;&gt;"",F758&lt;TODAY()),TODAY()-F758,"")</f>
        <v/>
      </c>
      <c r="I758" s="16"/>
    </row>
    <row r="759" customFormat="false" ht="15" hidden="false" customHeight="false" outlineLevel="0" collapsed="false">
      <c r="A759" s="15"/>
      <c r="B759" s="16"/>
      <c r="C759" s="13" t="str">
        <f aca="false">IFERROR(IF(B759="","",VLOOKUP(B759,Inventory!A:B,2,FALSE())),"")</f>
        <v/>
      </c>
      <c r="D759" s="16"/>
      <c r="E759" s="16"/>
      <c r="F759" s="15"/>
      <c r="G759" s="15"/>
      <c r="H759" s="17" t="str">
        <f aca="true">IF(AND(A759&lt;&gt;"",G759="",F759&lt;&gt;"",F759&lt;TODAY()),TODAY()-F759,"")</f>
        <v/>
      </c>
      <c r="I759" s="16"/>
    </row>
    <row r="760" customFormat="false" ht="15" hidden="false" customHeight="false" outlineLevel="0" collapsed="false">
      <c r="A760" s="15"/>
      <c r="B760" s="16"/>
      <c r="C760" s="13" t="str">
        <f aca="false">IFERROR(IF(B760="","",VLOOKUP(B760,Inventory!A:B,2,FALSE())),"")</f>
        <v/>
      </c>
      <c r="D760" s="16"/>
      <c r="E760" s="16"/>
      <c r="F760" s="15"/>
      <c r="G760" s="15"/>
      <c r="H760" s="17" t="str">
        <f aca="true">IF(AND(A760&lt;&gt;"",G760="",F760&lt;&gt;"",F760&lt;TODAY()),TODAY()-F760,"")</f>
        <v/>
      </c>
      <c r="I760" s="16"/>
    </row>
    <row r="761" customFormat="false" ht="15" hidden="false" customHeight="false" outlineLevel="0" collapsed="false">
      <c r="A761" s="15"/>
      <c r="B761" s="16"/>
      <c r="C761" s="13" t="str">
        <f aca="false">IFERROR(IF(B761="","",VLOOKUP(B761,Inventory!A:B,2,FALSE())),"")</f>
        <v/>
      </c>
      <c r="D761" s="16"/>
      <c r="E761" s="16"/>
      <c r="F761" s="15"/>
      <c r="G761" s="15"/>
      <c r="H761" s="17" t="str">
        <f aca="true">IF(AND(A761&lt;&gt;"",G761="",F761&lt;&gt;"",F761&lt;TODAY()),TODAY()-F761,"")</f>
        <v/>
      </c>
      <c r="I761" s="16"/>
    </row>
    <row r="762" customFormat="false" ht="15" hidden="false" customHeight="false" outlineLevel="0" collapsed="false">
      <c r="A762" s="15"/>
      <c r="B762" s="16"/>
      <c r="C762" s="13" t="str">
        <f aca="false">IFERROR(IF(B762="","",VLOOKUP(B762,Inventory!A:B,2,FALSE())),"")</f>
        <v/>
      </c>
      <c r="D762" s="16"/>
      <c r="E762" s="16"/>
      <c r="F762" s="15"/>
      <c r="G762" s="15"/>
      <c r="H762" s="17" t="str">
        <f aca="true">IF(AND(A762&lt;&gt;"",G762="",F762&lt;&gt;"",F762&lt;TODAY()),TODAY()-F762,"")</f>
        <v/>
      </c>
      <c r="I762" s="16"/>
    </row>
    <row r="763" customFormat="false" ht="15" hidden="false" customHeight="false" outlineLevel="0" collapsed="false">
      <c r="A763" s="15"/>
      <c r="B763" s="16"/>
      <c r="C763" s="13" t="str">
        <f aca="false">IFERROR(IF(B763="","",VLOOKUP(B763,Inventory!A:B,2,FALSE())),"")</f>
        <v/>
      </c>
      <c r="D763" s="16"/>
      <c r="E763" s="16"/>
      <c r="F763" s="15"/>
      <c r="G763" s="15"/>
      <c r="H763" s="17" t="str">
        <f aca="true">IF(AND(A763&lt;&gt;"",G763="",F763&lt;&gt;"",F763&lt;TODAY()),TODAY()-F763,"")</f>
        <v/>
      </c>
      <c r="I763" s="16"/>
    </row>
    <row r="764" customFormat="false" ht="15" hidden="false" customHeight="false" outlineLevel="0" collapsed="false">
      <c r="A764" s="15"/>
      <c r="B764" s="16"/>
      <c r="C764" s="13" t="str">
        <f aca="false">IFERROR(IF(B764="","",VLOOKUP(B764,Inventory!A:B,2,FALSE())),"")</f>
        <v/>
      </c>
      <c r="D764" s="16"/>
      <c r="E764" s="16"/>
      <c r="F764" s="15"/>
      <c r="G764" s="15"/>
      <c r="H764" s="17" t="str">
        <f aca="true">IF(AND(A764&lt;&gt;"",G764="",F764&lt;&gt;"",F764&lt;TODAY()),TODAY()-F764,"")</f>
        <v/>
      </c>
      <c r="I764" s="16"/>
    </row>
    <row r="765" customFormat="false" ht="15" hidden="false" customHeight="false" outlineLevel="0" collapsed="false">
      <c r="A765" s="15"/>
      <c r="B765" s="16"/>
      <c r="C765" s="13" t="str">
        <f aca="false">IFERROR(IF(B765="","",VLOOKUP(B765,Inventory!A:B,2,FALSE())),"")</f>
        <v/>
      </c>
      <c r="D765" s="16"/>
      <c r="E765" s="16"/>
      <c r="F765" s="15"/>
      <c r="G765" s="15"/>
      <c r="H765" s="17" t="str">
        <f aca="true">IF(AND(A765&lt;&gt;"",G765="",F765&lt;&gt;"",F765&lt;TODAY()),TODAY()-F765,"")</f>
        <v/>
      </c>
      <c r="I765" s="16"/>
    </row>
    <row r="766" customFormat="false" ht="15" hidden="false" customHeight="false" outlineLevel="0" collapsed="false">
      <c r="A766" s="15"/>
      <c r="B766" s="16"/>
      <c r="C766" s="13" t="str">
        <f aca="false">IFERROR(IF(B766="","",VLOOKUP(B766,Inventory!A:B,2,FALSE())),"")</f>
        <v/>
      </c>
      <c r="D766" s="16"/>
      <c r="E766" s="16"/>
      <c r="F766" s="15"/>
      <c r="G766" s="15"/>
      <c r="H766" s="17" t="str">
        <f aca="true">IF(AND(A766&lt;&gt;"",G766="",F766&lt;&gt;"",F766&lt;TODAY()),TODAY()-F766,"")</f>
        <v/>
      </c>
      <c r="I766" s="16"/>
    </row>
    <row r="767" customFormat="false" ht="15" hidden="false" customHeight="false" outlineLevel="0" collapsed="false">
      <c r="A767" s="15"/>
      <c r="B767" s="16"/>
      <c r="C767" s="13" t="str">
        <f aca="false">IFERROR(IF(B767="","",VLOOKUP(B767,Inventory!A:B,2,FALSE())),"")</f>
        <v/>
      </c>
      <c r="D767" s="16"/>
      <c r="E767" s="16"/>
      <c r="F767" s="15"/>
      <c r="G767" s="15"/>
      <c r="H767" s="17" t="str">
        <f aca="true">IF(AND(A767&lt;&gt;"",G767="",F767&lt;&gt;"",F767&lt;TODAY()),TODAY()-F767,"")</f>
        <v/>
      </c>
      <c r="I767" s="16"/>
    </row>
    <row r="768" customFormat="false" ht="15" hidden="false" customHeight="false" outlineLevel="0" collapsed="false">
      <c r="A768" s="15"/>
      <c r="B768" s="16"/>
      <c r="C768" s="13" t="str">
        <f aca="false">IFERROR(IF(B768="","",VLOOKUP(B768,Inventory!A:B,2,FALSE())),"")</f>
        <v/>
      </c>
      <c r="D768" s="16"/>
      <c r="E768" s="16"/>
      <c r="F768" s="15"/>
      <c r="G768" s="15"/>
      <c r="H768" s="17" t="str">
        <f aca="true">IF(AND(A768&lt;&gt;"",G768="",F768&lt;&gt;"",F768&lt;TODAY()),TODAY()-F768,"")</f>
        <v/>
      </c>
      <c r="I768" s="16"/>
    </row>
    <row r="769" customFormat="false" ht="15" hidden="false" customHeight="false" outlineLevel="0" collapsed="false">
      <c r="A769" s="15"/>
      <c r="B769" s="16"/>
      <c r="C769" s="13" t="str">
        <f aca="false">IFERROR(IF(B769="","",VLOOKUP(B769,Inventory!A:B,2,FALSE())),"")</f>
        <v/>
      </c>
      <c r="D769" s="16"/>
      <c r="E769" s="16"/>
      <c r="F769" s="15"/>
      <c r="G769" s="15"/>
      <c r="H769" s="17" t="str">
        <f aca="true">IF(AND(A769&lt;&gt;"",G769="",F769&lt;&gt;"",F769&lt;TODAY()),TODAY()-F769,"")</f>
        <v/>
      </c>
      <c r="I769" s="16"/>
    </row>
    <row r="770" customFormat="false" ht="15" hidden="false" customHeight="false" outlineLevel="0" collapsed="false">
      <c r="A770" s="15"/>
      <c r="B770" s="16"/>
      <c r="C770" s="13" t="str">
        <f aca="false">IFERROR(IF(B770="","",VLOOKUP(B770,Inventory!A:B,2,FALSE())),"")</f>
        <v/>
      </c>
      <c r="D770" s="16"/>
      <c r="E770" s="16"/>
      <c r="F770" s="15"/>
      <c r="G770" s="15"/>
      <c r="H770" s="17" t="str">
        <f aca="true">IF(AND(A770&lt;&gt;"",G770="",F770&lt;&gt;"",F770&lt;TODAY()),TODAY()-F770,"")</f>
        <v/>
      </c>
      <c r="I770" s="16"/>
    </row>
    <row r="771" customFormat="false" ht="15" hidden="false" customHeight="false" outlineLevel="0" collapsed="false">
      <c r="A771" s="15"/>
      <c r="B771" s="16"/>
      <c r="C771" s="13" t="str">
        <f aca="false">IFERROR(IF(B771="","",VLOOKUP(B771,Inventory!A:B,2,FALSE())),"")</f>
        <v/>
      </c>
      <c r="D771" s="16"/>
      <c r="E771" s="16"/>
      <c r="F771" s="15"/>
      <c r="G771" s="15"/>
      <c r="H771" s="17" t="str">
        <f aca="true">IF(AND(A771&lt;&gt;"",G771="",F771&lt;&gt;"",F771&lt;TODAY()),TODAY()-F771,"")</f>
        <v/>
      </c>
      <c r="I771" s="16"/>
    </row>
    <row r="772" customFormat="false" ht="15" hidden="false" customHeight="false" outlineLevel="0" collapsed="false">
      <c r="A772" s="15"/>
      <c r="B772" s="16"/>
      <c r="C772" s="13" t="str">
        <f aca="false">IFERROR(IF(B772="","",VLOOKUP(B772,Inventory!A:B,2,FALSE())),"")</f>
        <v/>
      </c>
      <c r="D772" s="16"/>
      <c r="E772" s="16"/>
      <c r="F772" s="15"/>
      <c r="G772" s="15"/>
      <c r="H772" s="17" t="str">
        <f aca="true">IF(AND(A772&lt;&gt;"",G772="",F772&lt;&gt;"",F772&lt;TODAY()),TODAY()-F772,"")</f>
        <v/>
      </c>
      <c r="I772" s="16"/>
    </row>
    <row r="773" customFormat="false" ht="15" hidden="false" customHeight="false" outlineLevel="0" collapsed="false">
      <c r="A773" s="15"/>
      <c r="B773" s="16"/>
      <c r="C773" s="13" t="str">
        <f aca="false">IFERROR(IF(B773="","",VLOOKUP(B773,Inventory!A:B,2,FALSE())),"")</f>
        <v/>
      </c>
      <c r="D773" s="16"/>
      <c r="E773" s="16"/>
      <c r="F773" s="15"/>
      <c r="G773" s="15"/>
      <c r="H773" s="17" t="str">
        <f aca="true">IF(AND(A773&lt;&gt;"",G773="",F773&lt;&gt;"",F773&lt;TODAY()),TODAY()-F773,"")</f>
        <v/>
      </c>
      <c r="I773" s="16"/>
    </row>
    <row r="774" customFormat="false" ht="15" hidden="false" customHeight="false" outlineLevel="0" collapsed="false">
      <c r="A774" s="15"/>
      <c r="B774" s="16"/>
      <c r="C774" s="13" t="str">
        <f aca="false">IFERROR(IF(B774="","",VLOOKUP(B774,Inventory!A:B,2,FALSE())),"")</f>
        <v/>
      </c>
      <c r="D774" s="16"/>
      <c r="E774" s="16"/>
      <c r="F774" s="15"/>
      <c r="G774" s="15"/>
      <c r="H774" s="17" t="str">
        <f aca="true">IF(AND(A774&lt;&gt;"",G774="",F774&lt;&gt;"",F774&lt;TODAY()),TODAY()-F774,"")</f>
        <v/>
      </c>
      <c r="I774" s="16"/>
    </row>
    <row r="775" customFormat="false" ht="15" hidden="false" customHeight="false" outlineLevel="0" collapsed="false">
      <c r="A775" s="15"/>
      <c r="B775" s="16"/>
      <c r="C775" s="13" t="str">
        <f aca="false">IFERROR(IF(B775="","",VLOOKUP(B775,Inventory!A:B,2,FALSE())),"")</f>
        <v/>
      </c>
      <c r="D775" s="16"/>
      <c r="E775" s="16"/>
      <c r="F775" s="15"/>
      <c r="G775" s="15"/>
      <c r="H775" s="17" t="str">
        <f aca="true">IF(AND(A775&lt;&gt;"",G775="",F775&lt;&gt;"",F775&lt;TODAY()),TODAY()-F775,"")</f>
        <v/>
      </c>
      <c r="I775" s="16"/>
    </row>
    <row r="776" customFormat="false" ht="15" hidden="false" customHeight="false" outlineLevel="0" collapsed="false">
      <c r="A776" s="15"/>
      <c r="B776" s="16"/>
      <c r="C776" s="13" t="str">
        <f aca="false">IFERROR(IF(B776="","",VLOOKUP(B776,Inventory!A:B,2,FALSE())),"")</f>
        <v/>
      </c>
      <c r="D776" s="16"/>
      <c r="E776" s="16"/>
      <c r="F776" s="15"/>
      <c r="G776" s="15"/>
      <c r="H776" s="17" t="str">
        <f aca="true">IF(AND(A776&lt;&gt;"",G776="",F776&lt;&gt;"",F776&lt;TODAY()),TODAY()-F776,"")</f>
        <v/>
      </c>
      <c r="I776" s="16"/>
    </row>
    <row r="777" customFormat="false" ht="15" hidden="false" customHeight="false" outlineLevel="0" collapsed="false">
      <c r="A777" s="15"/>
      <c r="B777" s="16"/>
      <c r="C777" s="13" t="str">
        <f aca="false">IFERROR(IF(B777="","",VLOOKUP(B777,Inventory!A:B,2,FALSE())),"")</f>
        <v/>
      </c>
      <c r="D777" s="16"/>
      <c r="E777" s="16"/>
      <c r="F777" s="15"/>
      <c r="G777" s="15"/>
      <c r="H777" s="17" t="str">
        <f aca="true">IF(AND(A777&lt;&gt;"",G777="",F777&lt;&gt;"",F777&lt;TODAY()),TODAY()-F777,"")</f>
        <v/>
      </c>
      <c r="I777" s="16"/>
    </row>
    <row r="778" customFormat="false" ht="15" hidden="false" customHeight="false" outlineLevel="0" collapsed="false">
      <c r="A778" s="15"/>
      <c r="B778" s="16"/>
      <c r="C778" s="13" t="str">
        <f aca="false">IFERROR(IF(B778="","",VLOOKUP(B778,Inventory!A:B,2,FALSE())),"")</f>
        <v/>
      </c>
      <c r="D778" s="16"/>
      <c r="E778" s="16"/>
      <c r="F778" s="15"/>
      <c r="G778" s="15"/>
      <c r="H778" s="17" t="str">
        <f aca="true">IF(AND(A778&lt;&gt;"",G778="",F778&lt;&gt;"",F778&lt;TODAY()),TODAY()-F778,"")</f>
        <v/>
      </c>
      <c r="I778" s="16"/>
    </row>
    <row r="779" customFormat="false" ht="15" hidden="false" customHeight="false" outlineLevel="0" collapsed="false">
      <c r="A779" s="15"/>
      <c r="B779" s="16"/>
      <c r="C779" s="13" t="str">
        <f aca="false">IFERROR(IF(B779="","",VLOOKUP(B779,Inventory!A:B,2,FALSE())),"")</f>
        <v/>
      </c>
      <c r="D779" s="16"/>
      <c r="E779" s="16"/>
      <c r="F779" s="15"/>
      <c r="G779" s="15"/>
      <c r="H779" s="17" t="str">
        <f aca="true">IF(AND(A779&lt;&gt;"",G779="",F779&lt;&gt;"",F779&lt;TODAY()),TODAY()-F779,"")</f>
        <v/>
      </c>
      <c r="I779" s="16"/>
    </row>
    <row r="780" customFormat="false" ht="15" hidden="false" customHeight="false" outlineLevel="0" collapsed="false">
      <c r="A780" s="15"/>
      <c r="B780" s="16"/>
      <c r="C780" s="13" t="str">
        <f aca="false">IFERROR(IF(B780="","",VLOOKUP(B780,Inventory!A:B,2,FALSE())),"")</f>
        <v/>
      </c>
      <c r="D780" s="16"/>
      <c r="E780" s="16"/>
      <c r="F780" s="15"/>
      <c r="G780" s="15"/>
      <c r="H780" s="17" t="str">
        <f aca="true">IF(AND(A780&lt;&gt;"",G780="",F780&lt;&gt;"",F780&lt;TODAY()),TODAY()-F780,"")</f>
        <v/>
      </c>
      <c r="I780" s="16"/>
    </row>
    <row r="781" customFormat="false" ht="15" hidden="false" customHeight="false" outlineLevel="0" collapsed="false">
      <c r="A781" s="15"/>
      <c r="B781" s="16"/>
      <c r="C781" s="13" t="str">
        <f aca="false">IFERROR(IF(B781="","",VLOOKUP(B781,Inventory!A:B,2,FALSE())),"")</f>
        <v/>
      </c>
      <c r="D781" s="16"/>
      <c r="E781" s="16"/>
      <c r="F781" s="15"/>
      <c r="G781" s="15"/>
      <c r="H781" s="17" t="str">
        <f aca="true">IF(AND(A781&lt;&gt;"",G781="",F781&lt;&gt;"",F781&lt;TODAY()),TODAY()-F781,"")</f>
        <v/>
      </c>
      <c r="I781" s="16"/>
    </row>
    <row r="782" customFormat="false" ht="15" hidden="false" customHeight="false" outlineLevel="0" collapsed="false">
      <c r="A782" s="15"/>
      <c r="B782" s="16"/>
      <c r="C782" s="13" t="str">
        <f aca="false">IFERROR(IF(B782="","",VLOOKUP(B782,Inventory!A:B,2,FALSE())),"")</f>
        <v/>
      </c>
      <c r="D782" s="16"/>
      <c r="E782" s="16"/>
      <c r="F782" s="15"/>
      <c r="G782" s="15"/>
      <c r="H782" s="17" t="str">
        <f aca="true">IF(AND(A782&lt;&gt;"",G782="",F782&lt;&gt;"",F782&lt;TODAY()),TODAY()-F782,"")</f>
        <v/>
      </c>
      <c r="I782" s="16"/>
    </row>
    <row r="783" customFormat="false" ht="15" hidden="false" customHeight="false" outlineLevel="0" collapsed="false">
      <c r="A783" s="15"/>
      <c r="B783" s="16"/>
      <c r="C783" s="13" t="str">
        <f aca="false">IFERROR(IF(B783="","",VLOOKUP(B783,Inventory!A:B,2,FALSE())),"")</f>
        <v/>
      </c>
      <c r="D783" s="16"/>
      <c r="E783" s="16"/>
      <c r="F783" s="15"/>
      <c r="G783" s="15"/>
      <c r="H783" s="17" t="str">
        <f aca="true">IF(AND(A783&lt;&gt;"",G783="",F783&lt;&gt;"",F783&lt;TODAY()),TODAY()-F783,"")</f>
        <v/>
      </c>
      <c r="I783" s="16"/>
    </row>
    <row r="784" customFormat="false" ht="15" hidden="false" customHeight="false" outlineLevel="0" collapsed="false">
      <c r="A784" s="15"/>
      <c r="B784" s="16"/>
      <c r="C784" s="13" t="str">
        <f aca="false">IFERROR(IF(B784="","",VLOOKUP(B784,Inventory!A:B,2,FALSE())),"")</f>
        <v/>
      </c>
      <c r="D784" s="16"/>
      <c r="E784" s="16"/>
      <c r="F784" s="15"/>
      <c r="G784" s="15"/>
      <c r="H784" s="17" t="str">
        <f aca="true">IF(AND(A784&lt;&gt;"",G784="",F784&lt;&gt;"",F784&lt;TODAY()),TODAY()-F784,"")</f>
        <v/>
      </c>
      <c r="I784" s="16"/>
    </row>
    <row r="785" customFormat="false" ht="15" hidden="false" customHeight="false" outlineLevel="0" collapsed="false">
      <c r="A785" s="15"/>
      <c r="B785" s="16"/>
      <c r="C785" s="13" t="str">
        <f aca="false">IFERROR(IF(B785="","",VLOOKUP(B785,Inventory!A:B,2,FALSE())),"")</f>
        <v/>
      </c>
      <c r="D785" s="16"/>
      <c r="E785" s="16"/>
      <c r="F785" s="15"/>
      <c r="G785" s="15"/>
      <c r="H785" s="17" t="str">
        <f aca="true">IF(AND(A785&lt;&gt;"",G785="",F785&lt;&gt;"",F785&lt;TODAY()),TODAY()-F785,"")</f>
        <v/>
      </c>
      <c r="I785" s="16"/>
    </row>
    <row r="786" customFormat="false" ht="15" hidden="false" customHeight="false" outlineLevel="0" collapsed="false">
      <c r="A786" s="15"/>
      <c r="B786" s="16"/>
      <c r="C786" s="13" t="str">
        <f aca="false">IFERROR(IF(B786="","",VLOOKUP(B786,Inventory!A:B,2,FALSE())),"")</f>
        <v/>
      </c>
      <c r="D786" s="16"/>
      <c r="E786" s="16"/>
      <c r="F786" s="15"/>
      <c r="G786" s="15"/>
      <c r="H786" s="17" t="str">
        <f aca="true">IF(AND(A786&lt;&gt;"",G786="",F786&lt;&gt;"",F786&lt;TODAY()),TODAY()-F786,"")</f>
        <v/>
      </c>
      <c r="I786" s="16"/>
    </row>
    <row r="787" customFormat="false" ht="15" hidden="false" customHeight="false" outlineLevel="0" collapsed="false">
      <c r="A787" s="15"/>
      <c r="B787" s="16"/>
      <c r="C787" s="13" t="str">
        <f aca="false">IFERROR(IF(B787="","",VLOOKUP(B787,Inventory!A:B,2,FALSE())),"")</f>
        <v/>
      </c>
      <c r="D787" s="16"/>
      <c r="E787" s="16"/>
      <c r="F787" s="15"/>
      <c r="G787" s="15"/>
      <c r="H787" s="17" t="str">
        <f aca="true">IF(AND(A787&lt;&gt;"",G787="",F787&lt;&gt;"",F787&lt;TODAY()),TODAY()-F787,"")</f>
        <v/>
      </c>
      <c r="I787" s="16"/>
    </row>
    <row r="788" customFormat="false" ht="15" hidden="false" customHeight="false" outlineLevel="0" collapsed="false">
      <c r="A788" s="15"/>
      <c r="B788" s="16"/>
      <c r="C788" s="13" t="str">
        <f aca="false">IFERROR(IF(B788="","",VLOOKUP(B788,Inventory!A:B,2,FALSE())),"")</f>
        <v/>
      </c>
      <c r="D788" s="16"/>
      <c r="E788" s="16"/>
      <c r="F788" s="15"/>
      <c r="G788" s="15"/>
      <c r="H788" s="17" t="str">
        <f aca="true">IF(AND(A788&lt;&gt;"",G788="",F788&lt;&gt;"",F788&lt;TODAY()),TODAY()-F788,"")</f>
        <v/>
      </c>
      <c r="I788" s="16"/>
    </row>
    <row r="789" customFormat="false" ht="15" hidden="false" customHeight="false" outlineLevel="0" collapsed="false">
      <c r="A789" s="15"/>
      <c r="B789" s="16"/>
      <c r="C789" s="13" t="str">
        <f aca="false">IFERROR(IF(B789="","",VLOOKUP(B789,Inventory!A:B,2,FALSE())),"")</f>
        <v/>
      </c>
      <c r="D789" s="16"/>
      <c r="E789" s="16"/>
      <c r="F789" s="15"/>
      <c r="G789" s="15"/>
      <c r="H789" s="17" t="str">
        <f aca="true">IF(AND(A789&lt;&gt;"",G789="",F789&lt;&gt;"",F789&lt;TODAY()),TODAY()-F789,"")</f>
        <v/>
      </c>
      <c r="I789" s="16"/>
    </row>
    <row r="790" customFormat="false" ht="15" hidden="false" customHeight="false" outlineLevel="0" collapsed="false">
      <c r="A790" s="15"/>
      <c r="B790" s="16"/>
      <c r="C790" s="13" t="str">
        <f aca="false">IFERROR(IF(B790="","",VLOOKUP(B790,Inventory!A:B,2,FALSE())),"")</f>
        <v/>
      </c>
      <c r="D790" s="16"/>
      <c r="E790" s="16"/>
      <c r="F790" s="15"/>
      <c r="G790" s="15"/>
      <c r="H790" s="17" t="str">
        <f aca="true">IF(AND(A790&lt;&gt;"",G790="",F790&lt;&gt;"",F790&lt;TODAY()),TODAY()-F790,"")</f>
        <v/>
      </c>
      <c r="I790" s="16"/>
    </row>
    <row r="791" customFormat="false" ht="15" hidden="false" customHeight="false" outlineLevel="0" collapsed="false">
      <c r="A791" s="15"/>
      <c r="B791" s="16"/>
      <c r="C791" s="13" t="str">
        <f aca="false">IFERROR(IF(B791="","",VLOOKUP(B791,Inventory!A:B,2,FALSE())),"")</f>
        <v/>
      </c>
      <c r="D791" s="16"/>
      <c r="E791" s="16"/>
      <c r="F791" s="15"/>
      <c r="G791" s="15"/>
      <c r="H791" s="17" t="str">
        <f aca="true">IF(AND(A791&lt;&gt;"",G791="",F791&lt;&gt;"",F791&lt;TODAY()),TODAY()-F791,"")</f>
        <v/>
      </c>
      <c r="I791" s="16"/>
    </row>
    <row r="792" customFormat="false" ht="15" hidden="false" customHeight="false" outlineLevel="0" collapsed="false">
      <c r="A792" s="15"/>
      <c r="B792" s="16"/>
      <c r="C792" s="13" t="str">
        <f aca="false">IFERROR(IF(B792="","",VLOOKUP(B792,Inventory!A:B,2,FALSE())),"")</f>
        <v/>
      </c>
      <c r="D792" s="16"/>
      <c r="E792" s="16"/>
      <c r="F792" s="15"/>
      <c r="G792" s="15"/>
      <c r="H792" s="17" t="str">
        <f aca="true">IF(AND(A792&lt;&gt;"",G792="",F792&lt;&gt;"",F792&lt;TODAY()),TODAY()-F792,"")</f>
        <v/>
      </c>
      <c r="I792" s="16"/>
    </row>
    <row r="793" customFormat="false" ht="15" hidden="false" customHeight="false" outlineLevel="0" collapsed="false">
      <c r="A793" s="15"/>
      <c r="B793" s="16"/>
      <c r="C793" s="13" t="str">
        <f aca="false">IFERROR(IF(B793="","",VLOOKUP(B793,Inventory!A:B,2,FALSE())),"")</f>
        <v/>
      </c>
      <c r="D793" s="16"/>
      <c r="E793" s="16"/>
      <c r="F793" s="15"/>
      <c r="G793" s="15"/>
      <c r="H793" s="17" t="str">
        <f aca="true">IF(AND(A793&lt;&gt;"",G793="",F793&lt;&gt;"",F793&lt;TODAY()),TODAY()-F793,"")</f>
        <v/>
      </c>
      <c r="I793" s="16"/>
    </row>
    <row r="794" customFormat="false" ht="15" hidden="false" customHeight="false" outlineLevel="0" collapsed="false">
      <c r="A794" s="15"/>
      <c r="B794" s="16"/>
      <c r="C794" s="13" t="str">
        <f aca="false">IFERROR(IF(B794="","",VLOOKUP(B794,Inventory!A:B,2,FALSE())),"")</f>
        <v/>
      </c>
      <c r="D794" s="16"/>
      <c r="E794" s="16"/>
      <c r="F794" s="15"/>
      <c r="G794" s="15"/>
      <c r="H794" s="17" t="str">
        <f aca="true">IF(AND(A794&lt;&gt;"",G794="",F794&lt;&gt;"",F794&lt;TODAY()),TODAY()-F794,"")</f>
        <v/>
      </c>
      <c r="I794" s="16"/>
    </row>
    <row r="795" customFormat="false" ht="15" hidden="false" customHeight="false" outlineLevel="0" collapsed="false">
      <c r="A795" s="15"/>
      <c r="B795" s="16"/>
      <c r="C795" s="13" t="str">
        <f aca="false">IFERROR(IF(B795="","",VLOOKUP(B795,Inventory!A:B,2,FALSE())),"")</f>
        <v/>
      </c>
      <c r="D795" s="16"/>
      <c r="E795" s="16"/>
      <c r="F795" s="15"/>
      <c r="G795" s="15"/>
      <c r="H795" s="17" t="str">
        <f aca="true">IF(AND(A795&lt;&gt;"",G795="",F795&lt;&gt;"",F795&lt;TODAY()),TODAY()-F795,"")</f>
        <v/>
      </c>
      <c r="I795" s="16"/>
    </row>
    <row r="796" customFormat="false" ht="15" hidden="false" customHeight="false" outlineLevel="0" collapsed="false">
      <c r="A796" s="15"/>
      <c r="B796" s="16"/>
      <c r="C796" s="13" t="str">
        <f aca="false">IFERROR(IF(B796="","",VLOOKUP(B796,Inventory!A:B,2,FALSE())),"")</f>
        <v/>
      </c>
      <c r="D796" s="16"/>
      <c r="E796" s="16"/>
      <c r="F796" s="15"/>
      <c r="G796" s="15"/>
      <c r="H796" s="17" t="str">
        <f aca="true">IF(AND(A796&lt;&gt;"",G796="",F796&lt;&gt;"",F796&lt;TODAY()),TODAY()-F796,"")</f>
        <v/>
      </c>
      <c r="I796" s="16"/>
    </row>
    <row r="797" customFormat="false" ht="15" hidden="false" customHeight="false" outlineLevel="0" collapsed="false">
      <c r="A797" s="15"/>
      <c r="B797" s="16"/>
      <c r="C797" s="13" t="str">
        <f aca="false">IFERROR(IF(B797="","",VLOOKUP(B797,Inventory!A:B,2,FALSE())),"")</f>
        <v/>
      </c>
      <c r="D797" s="16"/>
      <c r="E797" s="16"/>
      <c r="F797" s="15"/>
      <c r="G797" s="15"/>
      <c r="H797" s="17" t="str">
        <f aca="true">IF(AND(A797&lt;&gt;"",G797="",F797&lt;&gt;"",F797&lt;TODAY()),TODAY()-F797,"")</f>
        <v/>
      </c>
      <c r="I797" s="16"/>
    </row>
    <row r="798" customFormat="false" ht="15" hidden="false" customHeight="false" outlineLevel="0" collapsed="false">
      <c r="A798" s="15"/>
      <c r="B798" s="16"/>
      <c r="C798" s="13" t="str">
        <f aca="false">IFERROR(IF(B798="","",VLOOKUP(B798,Inventory!A:B,2,FALSE())),"")</f>
        <v/>
      </c>
      <c r="D798" s="16"/>
      <c r="E798" s="16"/>
      <c r="F798" s="15"/>
      <c r="G798" s="15"/>
      <c r="H798" s="17" t="str">
        <f aca="true">IF(AND(A798&lt;&gt;"",G798="",F798&lt;&gt;"",F798&lt;TODAY()),TODAY()-F798,"")</f>
        <v/>
      </c>
      <c r="I798" s="16"/>
    </row>
    <row r="799" customFormat="false" ht="15" hidden="false" customHeight="false" outlineLevel="0" collapsed="false">
      <c r="A799" s="15"/>
      <c r="B799" s="16"/>
      <c r="C799" s="13" t="str">
        <f aca="false">IFERROR(IF(B799="","",VLOOKUP(B799,Inventory!A:B,2,FALSE())),"")</f>
        <v/>
      </c>
      <c r="D799" s="16"/>
      <c r="E799" s="16"/>
      <c r="F799" s="15"/>
      <c r="G799" s="15"/>
      <c r="H799" s="17" t="str">
        <f aca="true">IF(AND(A799&lt;&gt;"",G799="",F799&lt;&gt;"",F799&lt;TODAY()),TODAY()-F799,"")</f>
        <v/>
      </c>
      <c r="I799" s="16"/>
    </row>
    <row r="800" customFormat="false" ht="15" hidden="false" customHeight="false" outlineLevel="0" collapsed="false">
      <c r="A800" s="15"/>
      <c r="B800" s="16"/>
      <c r="C800" s="13" t="str">
        <f aca="false">IFERROR(IF(B800="","",VLOOKUP(B800,Inventory!A:B,2,FALSE())),"")</f>
        <v/>
      </c>
      <c r="D800" s="16"/>
      <c r="E800" s="16"/>
      <c r="F800" s="15"/>
      <c r="G800" s="15"/>
      <c r="H800" s="17" t="str">
        <f aca="true">IF(AND(A800&lt;&gt;"",G800="",F800&lt;&gt;"",F800&lt;TODAY()),TODAY()-F800,"")</f>
        <v/>
      </c>
      <c r="I800" s="16"/>
    </row>
    <row r="801" customFormat="false" ht="15" hidden="false" customHeight="false" outlineLevel="0" collapsed="false">
      <c r="A801" s="15"/>
      <c r="B801" s="16"/>
      <c r="C801" s="13" t="str">
        <f aca="false">IFERROR(IF(B801="","",VLOOKUP(B801,Inventory!A:B,2,FALSE())),"")</f>
        <v/>
      </c>
      <c r="D801" s="16"/>
      <c r="E801" s="16"/>
      <c r="F801" s="15"/>
      <c r="G801" s="15"/>
      <c r="H801" s="17" t="str">
        <f aca="true">IF(AND(A801&lt;&gt;"",G801="",F801&lt;&gt;"",F801&lt;TODAY()),TODAY()-F801,"")</f>
        <v/>
      </c>
      <c r="I801" s="16"/>
    </row>
    <row r="802" customFormat="false" ht="15" hidden="false" customHeight="false" outlineLevel="0" collapsed="false">
      <c r="A802" s="15"/>
      <c r="B802" s="16"/>
      <c r="C802" s="13" t="str">
        <f aca="false">IFERROR(IF(B802="","",VLOOKUP(B802,Inventory!A:B,2,FALSE())),"")</f>
        <v/>
      </c>
      <c r="D802" s="16"/>
      <c r="E802" s="16"/>
      <c r="F802" s="15"/>
      <c r="G802" s="15"/>
      <c r="H802" s="17" t="str">
        <f aca="true">IF(AND(A802&lt;&gt;"",G802="",F802&lt;&gt;"",F802&lt;TODAY()),TODAY()-F802,"")</f>
        <v/>
      </c>
      <c r="I802" s="16"/>
    </row>
    <row r="803" customFormat="false" ht="15" hidden="false" customHeight="false" outlineLevel="0" collapsed="false">
      <c r="A803" s="15"/>
      <c r="B803" s="16"/>
      <c r="C803" s="13" t="str">
        <f aca="false">IFERROR(IF(B803="","",VLOOKUP(B803,Inventory!A:B,2,FALSE())),"")</f>
        <v/>
      </c>
      <c r="D803" s="16"/>
      <c r="E803" s="16"/>
      <c r="F803" s="15"/>
      <c r="G803" s="15"/>
      <c r="H803" s="17" t="str">
        <f aca="true">IF(AND(A803&lt;&gt;"",G803="",F803&lt;&gt;"",F803&lt;TODAY()),TODAY()-F803,"")</f>
        <v/>
      </c>
      <c r="I803" s="16"/>
    </row>
    <row r="804" customFormat="false" ht="15" hidden="false" customHeight="false" outlineLevel="0" collapsed="false">
      <c r="A804" s="15"/>
      <c r="B804" s="16"/>
      <c r="C804" s="13" t="str">
        <f aca="false">IFERROR(IF(B804="","",VLOOKUP(B804,Inventory!A:B,2,FALSE())),"")</f>
        <v/>
      </c>
      <c r="D804" s="16"/>
      <c r="E804" s="16"/>
      <c r="F804" s="15"/>
      <c r="G804" s="15"/>
      <c r="H804" s="17" t="str">
        <f aca="true">IF(AND(A804&lt;&gt;"",G804="",F804&lt;&gt;"",F804&lt;TODAY()),TODAY()-F804,"")</f>
        <v/>
      </c>
      <c r="I804" s="16"/>
    </row>
    <row r="805" customFormat="false" ht="15" hidden="false" customHeight="false" outlineLevel="0" collapsed="false">
      <c r="A805" s="15"/>
      <c r="B805" s="16"/>
      <c r="C805" s="13" t="str">
        <f aca="false">IFERROR(IF(B805="","",VLOOKUP(B805,Inventory!A:B,2,FALSE())),"")</f>
        <v/>
      </c>
      <c r="D805" s="16"/>
      <c r="E805" s="16"/>
      <c r="F805" s="15"/>
      <c r="G805" s="15"/>
      <c r="H805" s="17" t="str">
        <f aca="true">IF(AND(A805&lt;&gt;"",G805="",F805&lt;&gt;"",F805&lt;TODAY()),TODAY()-F805,"")</f>
        <v/>
      </c>
      <c r="I805" s="16"/>
    </row>
    <row r="806" customFormat="false" ht="15" hidden="false" customHeight="false" outlineLevel="0" collapsed="false">
      <c r="A806" s="15"/>
      <c r="B806" s="16"/>
      <c r="C806" s="13" t="str">
        <f aca="false">IFERROR(IF(B806="","",VLOOKUP(B806,Inventory!A:B,2,FALSE())),"")</f>
        <v/>
      </c>
      <c r="D806" s="16"/>
      <c r="E806" s="16"/>
      <c r="F806" s="15"/>
      <c r="G806" s="15"/>
      <c r="H806" s="17" t="str">
        <f aca="true">IF(AND(A806&lt;&gt;"",G806="",F806&lt;&gt;"",F806&lt;TODAY()),TODAY()-F806,"")</f>
        <v/>
      </c>
      <c r="I806" s="16"/>
    </row>
    <row r="807" customFormat="false" ht="15" hidden="false" customHeight="false" outlineLevel="0" collapsed="false">
      <c r="A807" s="15"/>
      <c r="B807" s="16"/>
      <c r="C807" s="13" t="str">
        <f aca="false">IFERROR(IF(B807="","",VLOOKUP(B807,Inventory!A:B,2,FALSE())),"")</f>
        <v/>
      </c>
      <c r="D807" s="16"/>
      <c r="E807" s="16"/>
      <c r="F807" s="15"/>
      <c r="G807" s="15"/>
      <c r="H807" s="17" t="str">
        <f aca="true">IF(AND(A807&lt;&gt;"",G807="",F807&lt;&gt;"",F807&lt;TODAY()),TODAY()-F807,"")</f>
        <v/>
      </c>
      <c r="I807" s="16"/>
    </row>
    <row r="808" customFormat="false" ht="15" hidden="false" customHeight="false" outlineLevel="0" collapsed="false">
      <c r="A808" s="15"/>
      <c r="B808" s="16"/>
      <c r="C808" s="13" t="str">
        <f aca="false">IFERROR(IF(B808="","",VLOOKUP(B808,Inventory!A:B,2,FALSE())),"")</f>
        <v/>
      </c>
      <c r="D808" s="16"/>
      <c r="E808" s="16"/>
      <c r="F808" s="15"/>
      <c r="G808" s="15"/>
      <c r="H808" s="17" t="str">
        <f aca="true">IF(AND(A808&lt;&gt;"",G808="",F808&lt;&gt;"",F808&lt;TODAY()),TODAY()-F808,"")</f>
        <v/>
      </c>
      <c r="I808" s="16"/>
    </row>
    <row r="809" customFormat="false" ht="15" hidden="false" customHeight="false" outlineLevel="0" collapsed="false">
      <c r="A809" s="15"/>
      <c r="B809" s="16"/>
      <c r="C809" s="13" t="str">
        <f aca="false">IFERROR(IF(B809="","",VLOOKUP(B809,Inventory!A:B,2,FALSE())),"")</f>
        <v/>
      </c>
      <c r="D809" s="16"/>
      <c r="E809" s="16"/>
      <c r="F809" s="15"/>
      <c r="G809" s="15"/>
      <c r="H809" s="17" t="str">
        <f aca="true">IF(AND(A809&lt;&gt;"",G809="",F809&lt;&gt;"",F809&lt;TODAY()),TODAY()-F809,"")</f>
        <v/>
      </c>
      <c r="I809" s="16"/>
    </row>
    <row r="810" customFormat="false" ht="15" hidden="false" customHeight="false" outlineLevel="0" collapsed="false">
      <c r="A810" s="15"/>
      <c r="B810" s="16"/>
      <c r="C810" s="13" t="str">
        <f aca="false">IFERROR(IF(B810="","",VLOOKUP(B810,Inventory!A:B,2,FALSE())),"")</f>
        <v/>
      </c>
      <c r="D810" s="16"/>
      <c r="E810" s="16"/>
      <c r="F810" s="15"/>
      <c r="G810" s="15"/>
      <c r="H810" s="17" t="str">
        <f aca="true">IF(AND(A810&lt;&gt;"",G810="",F810&lt;&gt;"",F810&lt;TODAY()),TODAY()-F810,"")</f>
        <v/>
      </c>
      <c r="I810" s="16"/>
    </row>
    <row r="811" customFormat="false" ht="15" hidden="false" customHeight="false" outlineLevel="0" collapsed="false">
      <c r="A811" s="15"/>
      <c r="B811" s="16"/>
      <c r="C811" s="13" t="str">
        <f aca="false">IFERROR(IF(B811="","",VLOOKUP(B811,Inventory!A:B,2,FALSE())),"")</f>
        <v/>
      </c>
      <c r="D811" s="16"/>
      <c r="E811" s="16"/>
      <c r="F811" s="15"/>
      <c r="G811" s="15"/>
      <c r="H811" s="17" t="str">
        <f aca="true">IF(AND(A811&lt;&gt;"",G811="",F811&lt;&gt;"",F811&lt;TODAY()),TODAY()-F811,"")</f>
        <v/>
      </c>
      <c r="I811" s="16"/>
    </row>
    <row r="812" customFormat="false" ht="15" hidden="false" customHeight="false" outlineLevel="0" collapsed="false">
      <c r="A812" s="15"/>
      <c r="B812" s="16"/>
      <c r="C812" s="13" t="str">
        <f aca="false">IFERROR(IF(B812="","",VLOOKUP(B812,Inventory!A:B,2,FALSE())),"")</f>
        <v/>
      </c>
      <c r="D812" s="16"/>
      <c r="E812" s="16"/>
      <c r="F812" s="15"/>
      <c r="G812" s="15"/>
      <c r="H812" s="17" t="str">
        <f aca="true">IF(AND(A812&lt;&gt;"",G812="",F812&lt;&gt;"",F812&lt;TODAY()),TODAY()-F812,"")</f>
        <v/>
      </c>
      <c r="I812" s="16"/>
    </row>
    <row r="813" customFormat="false" ht="15" hidden="false" customHeight="false" outlineLevel="0" collapsed="false">
      <c r="A813" s="15"/>
      <c r="B813" s="16"/>
      <c r="C813" s="13" t="str">
        <f aca="false">IFERROR(IF(B813="","",VLOOKUP(B813,Inventory!A:B,2,FALSE())),"")</f>
        <v/>
      </c>
      <c r="D813" s="16"/>
      <c r="E813" s="16"/>
      <c r="F813" s="15"/>
      <c r="G813" s="15"/>
      <c r="H813" s="17" t="str">
        <f aca="true">IF(AND(A813&lt;&gt;"",G813="",F813&lt;&gt;"",F813&lt;TODAY()),TODAY()-F813,"")</f>
        <v/>
      </c>
      <c r="I813" s="16"/>
    </row>
    <row r="814" customFormat="false" ht="15" hidden="false" customHeight="false" outlineLevel="0" collapsed="false">
      <c r="A814" s="15"/>
      <c r="B814" s="16"/>
      <c r="C814" s="13" t="str">
        <f aca="false">IFERROR(IF(B814="","",VLOOKUP(B814,Inventory!A:B,2,FALSE())),"")</f>
        <v/>
      </c>
      <c r="D814" s="16"/>
      <c r="E814" s="16"/>
      <c r="F814" s="15"/>
      <c r="G814" s="15"/>
      <c r="H814" s="17" t="str">
        <f aca="true">IF(AND(A814&lt;&gt;"",G814="",F814&lt;&gt;"",F814&lt;TODAY()),TODAY()-F814,"")</f>
        <v/>
      </c>
      <c r="I814" s="16"/>
    </row>
    <row r="815" customFormat="false" ht="15" hidden="false" customHeight="false" outlineLevel="0" collapsed="false">
      <c r="A815" s="15"/>
      <c r="B815" s="16"/>
      <c r="C815" s="13" t="str">
        <f aca="false">IFERROR(IF(B815="","",VLOOKUP(B815,Inventory!A:B,2,FALSE())),"")</f>
        <v/>
      </c>
      <c r="D815" s="16"/>
      <c r="E815" s="16"/>
      <c r="F815" s="15"/>
      <c r="G815" s="15"/>
      <c r="H815" s="17" t="str">
        <f aca="true">IF(AND(A815&lt;&gt;"",G815="",F815&lt;&gt;"",F815&lt;TODAY()),TODAY()-F815,"")</f>
        <v/>
      </c>
      <c r="I815" s="16"/>
    </row>
    <row r="816" customFormat="false" ht="15" hidden="false" customHeight="false" outlineLevel="0" collapsed="false">
      <c r="A816" s="15"/>
      <c r="B816" s="16"/>
      <c r="C816" s="13" t="str">
        <f aca="false">IFERROR(IF(B816="","",VLOOKUP(B816,Inventory!A:B,2,FALSE())),"")</f>
        <v/>
      </c>
      <c r="D816" s="16"/>
      <c r="E816" s="16"/>
      <c r="F816" s="15"/>
      <c r="G816" s="15"/>
      <c r="H816" s="17" t="str">
        <f aca="true">IF(AND(A816&lt;&gt;"",G816="",F816&lt;&gt;"",F816&lt;TODAY()),TODAY()-F816,"")</f>
        <v/>
      </c>
      <c r="I816" s="16"/>
    </row>
    <row r="817" customFormat="false" ht="15" hidden="false" customHeight="false" outlineLevel="0" collapsed="false">
      <c r="A817" s="15"/>
      <c r="B817" s="16"/>
      <c r="C817" s="13" t="str">
        <f aca="false">IFERROR(IF(B817="","",VLOOKUP(B817,Inventory!A:B,2,FALSE())),"")</f>
        <v/>
      </c>
      <c r="D817" s="16"/>
      <c r="E817" s="16"/>
      <c r="F817" s="15"/>
      <c r="G817" s="15"/>
      <c r="H817" s="17" t="str">
        <f aca="true">IF(AND(A817&lt;&gt;"",G817="",F817&lt;&gt;"",F817&lt;TODAY()),TODAY()-F817,"")</f>
        <v/>
      </c>
      <c r="I817" s="16"/>
    </row>
    <row r="818" customFormat="false" ht="15" hidden="false" customHeight="false" outlineLevel="0" collapsed="false">
      <c r="A818" s="15"/>
      <c r="B818" s="16"/>
      <c r="C818" s="13" t="str">
        <f aca="false">IFERROR(IF(B818="","",VLOOKUP(B818,Inventory!A:B,2,FALSE())),"")</f>
        <v/>
      </c>
      <c r="D818" s="16"/>
      <c r="E818" s="16"/>
      <c r="F818" s="15"/>
      <c r="G818" s="15"/>
      <c r="H818" s="17" t="str">
        <f aca="true">IF(AND(A818&lt;&gt;"",G818="",F818&lt;&gt;"",F818&lt;TODAY()),TODAY()-F818,"")</f>
        <v/>
      </c>
      <c r="I818" s="16"/>
    </row>
    <row r="819" customFormat="false" ht="15" hidden="false" customHeight="false" outlineLevel="0" collapsed="false">
      <c r="A819" s="15"/>
      <c r="B819" s="16"/>
      <c r="C819" s="13" t="str">
        <f aca="false">IFERROR(IF(B819="","",VLOOKUP(B819,Inventory!A:B,2,FALSE())),"")</f>
        <v/>
      </c>
      <c r="D819" s="16"/>
      <c r="E819" s="16"/>
      <c r="F819" s="15"/>
      <c r="G819" s="15"/>
      <c r="H819" s="17" t="str">
        <f aca="true">IF(AND(A819&lt;&gt;"",G819="",F819&lt;&gt;"",F819&lt;TODAY()),TODAY()-F819,"")</f>
        <v/>
      </c>
      <c r="I819" s="16"/>
    </row>
    <row r="820" customFormat="false" ht="15" hidden="false" customHeight="false" outlineLevel="0" collapsed="false">
      <c r="A820" s="15"/>
      <c r="B820" s="16"/>
      <c r="C820" s="13" t="str">
        <f aca="false">IFERROR(IF(B820="","",VLOOKUP(B820,Inventory!A:B,2,FALSE())),"")</f>
        <v/>
      </c>
      <c r="D820" s="16"/>
      <c r="E820" s="16"/>
      <c r="F820" s="15"/>
      <c r="G820" s="15"/>
      <c r="H820" s="17" t="str">
        <f aca="true">IF(AND(A820&lt;&gt;"",G820="",F820&lt;&gt;"",F820&lt;TODAY()),TODAY()-F820,"")</f>
        <v/>
      </c>
      <c r="I820" s="16"/>
    </row>
    <row r="821" customFormat="false" ht="15" hidden="false" customHeight="false" outlineLevel="0" collapsed="false">
      <c r="A821" s="15"/>
      <c r="B821" s="16"/>
      <c r="C821" s="13" t="str">
        <f aca="false">IFERROR(IF(B821="","",VLOOKUP(B821,Inventory!A:B,2,FALSE())),"")</f>
        <v/>
      </c>
      <c r="D821" s="16"/>
      <c r="E821" s="16"/>
      <c r="F821" s="15"/>
      <c r="G821" s="15"/>
      <c r="H821" s="17" t="str">
        <f aca="true">IF(AND(A821&lt;&gt;"",G821="",F821&lt;&gt;"",F821&lt;TODAY()),TODAY()-F821,"")</f>
        <v/>
      </c>
      <c r="I821" s="16"/>
    </row>
    <row r="822" customFormat="false" ht="15" hidden="false" customHeight="false" outlineLevel="0" collapsed="false">
      <c r="A822" s="15"/>
      <c r="B822" s="16"/>
      <c r="C822" s="13" t="str">
        <f aca="false">IFERROR(IF(B822="","",VLOOKUP(B822,Inventory!A:B,2,FALSE())),"")</f>
        <v/>
      </c>
      <c r="D822" s="16"/>
      <c r="E822" s="16"/>
      <c r="F822" s="15"/>
      <c r="G822" s="15"/>
      <c r="H822" s="17" t="str">
        <f aca="true">IF(AND(A822&lt;&gt;"",G822="",F822&lt;&gt;"",F822&lt;TODAY()),TODAY()-F822,"")</f>
        <v/>
      </c>
      <c r="I822" s="16"/>
    </row>
    <row r="823" customFormat="false" ht="15" hidden="false" customHeight="false" outlineLevel="0" collapsed="false">
      <c r="A823" s="15"/>
      <c r="B823" s="16"/>
      <c r="C823" s="13" t="str">
        <f aca="false">IFERROR(IF(B823="","",VLOOKUP(B823,Inventory!A:B,2,FALSE())),"")</f>
        <v/>
      </c>
      <c r="D823" s="16"/>
      <c r="E823" s="16"/>
      <c r="F823" s="15"/>
      <c r="G823" s="15"/>
      <c r="H823" s="17" t="str">
        <f aca="true">IF(AND(A823&lt;&gt;"",G823="",F823&lt;&gt;"",F823&lt;TODAY()),TODAY()-F823,"")</f>
        <v/>
      </c>
      <c r="I823" s="16"/>
    </row>
    <row r="824" customFormat="false" ht="15" hidden="false" customHeight="false" outlineLevel="0" collapsed="false">
      <c r="A824" s="15"/>
      <c r="B824" s="16"/>
      <c r="C824" s="13" t="str">
        <f aca="false">IFERROR(IF(B824="","",VLOOKUP(B824,Inventory!A:B,2,FALSE())),"")</f>
        <v/>
      </c>
      <c r="D824" s="16"/>
      <c r="E824" s="16"/>
      <c r="F824" s="15"/>
      <c r="G824" s="15"/>
      <c r="H824" s="17" t="str">
        <f aca="true">IF(AND(A824&lt;&gt;"",G824="",F824&lt;&gt;"",F824&lt;TODAY()),TODAY()-F824,"")</f>
        <v/>
      </c>
      <c r="I824" s="16"/>
    </row>
    <row r="825" customFormat="false" ht="15" hidden="false" customHeight="false" outlineLevel="0" collapsed="false">
      <c r="A825" s="15"/>
      <c r="B825" s="16"/>
      <c r="C825" s="13" t="str">
        <f aca="false">IFERROR(IF(B825="","",VLOOKUP(B825,Inventory!A:B,2,FALSE())),"")</f>
        <v/>
      </c>
      <c r="D825" s="16"/>
      <c r="E825" s="16"/>
      <c r="F825" s="15"/>
      <c r="G825" s="15"/>
      <c r="H825" s="17" t="str">
        <f aca="true">IF(AND(A825&lt;&gt;"",G825="",F825&lt;&gt;"",F825&lt;TODAY()),TODAY()-F825,"")</f>
        <v/>
      </c>
      <c r="I825" s="16"/>
    </row>
    <row r="826" customFormat="false" ht="15" hidden="false" customHeight="false" outlineLevel="0" collapsed="false">
      <c r="A826" s="15"/>
      <c r="B826" s="16"/>
      <c r="C826" s="13" t="str">
        <f aca="false">IFERROR(IF(B826="","",VLOOKUP(B826,Inventory!A:B,2,FALSE())),"")</f>
        <v/>
      </c>
      <c r="D826" s="16"/>
      <c r="E826" s="16"/>
      <c r="F826" s="15"/>
      <c r="G826" s="15"/>
      <c r="H826" s="17" t="str">
        <f aca="true">IF(AND(A826&lt;&gt;"",G826="",F826&lt;&gt;"",F826&lt;TODAY()),TODAY()-F826,"")</f>
        <v/>
      </c>
      <c r="I826" s="16"/>
    </row>
    <row r="827" customFormat="false" ht="15" hidden="false" customHeight="false" outlineLevel="0" collapsed="false">
      <c r="A827" s="15"/>
      <c r="B827" s="16"/>
      <c r="C827" s="13" t="str">
        <f aca="false">IFERROR(IF(B827="","",VLOOKUP(B827,Inventory!A:B,2,FALSE())),"")</f>
        <v/>
      </c>
      <c r="D827" s="16"/>
      <c r="E827" s="16"/>
      <c r="F827" s="15"/>
      <c r="G827" s="15"/>
      <c r="H827" s="17" t="str">
        <f aca="true">IF(AND(A827&lt;&gt;"",G827="",F827&lt;&gt;"",F827&lt;TODAY()),TODAY()-F827,"")</f>
        <v/>
      </c>
      <c r="I827" s="16"/>
    </row>
    <row r="828" customFormat="false" ht="15" hidden="false" customHeight="false" outlineLevel="0" collapsed="false">
      <c r="A828" s="15"/>
      <c r="B828" s="16"/>
      <c r="C828" s="13" t="str">
        <f aca="false">IFERROR(IF(B828="","",VLOOKUP(B828,Inventory!A:B,2,FALSE())),"")</f>
        <v/>
      </c>
      <c r="D828" s="16"/>
      <c r="E828" s="16"/>
      <c r="F828" s="15"/>
      <c r="G828" s="15"/>
      <c r="H828" s="17" t="str">
        <f aca="true">IF(AND(A828&lt;&gt;"",G828="",F828&lt;&gt;"",F828&lt;TODAY()),TODAY()-F828,"")</f>
        <v/>
      </c>
      <c r="I828" s="16"/>
    </row>
    <row r="829" customFormat="false" ht="15" hidden="false" customHeight="false" outlineLevel="0" collapsed="false">
      <c r="A829" s="15"/>
      <c r="B829" s="16"/>
      <c r="C829" s="13" t="str">
        <f aca="false">IFERROR(IF(B829="","",VLOOKUP(B829,Inventory!A:B,2,FALSE())),"")</f>
        <v/>
      </c>
      <c r="D829" s="16"/>
      <c r="E829" s="16"/>
      <c r="F829" s="15"/>
      <c r="G829" s="15"/>
      <c r="H829" s="17" t="str">
        <f aca="true">IF(AND(A829&lt;&gt;"",G829="",F829&lt;&gt;"",F829&lt;TODAY()),TODAY()-F829,"")</f>
        <v/>
      </c>
      <c r="I829" s="16"/>
    </row>
    <row r="830" customFormat="false" ht="15" hidden="false" customHeight="false" outlineLevel="0" collapsed="false">
      <c r="A830" s="15"/>
      <c r="B830" s="16"/>
      <c r="C830" s="13" t="str">
        <f aca="false">IFERROR(IF(B830="","",VLOOKUP(B830,Inventory!A:B,2,FALSE())),"")</f>
        <v/>
      </c>
      <c r="D830" s="16"/>
      <c r="E830" s="16"/>
      <c r="F830" s="15"/>
      <c r="G830" s="15"/>
      <c r="H830" s="17" t="str">
        <f aca="true">IF(AND(A830&lt;&gt;"",G830="",F830&lt;&gt;"",F830&lt;TODAY()),TODAY()-F830,"")</f>
        <v/>
      </c>
      <c r="I830" s="16"/>
    </row>
    <row r="831" customFormat="false" ht="15" hidden="false" customHeight="false" outlineLevel="0" collapsed="false">
      <c r="A831" s="15"/>
      <c r="B831" s="16"/>
      <c r="C831" s="13" t="str">
        <f aca="false">IFERROR(IF(B831="","",VLOOKUP(B831,Inventory!A:B,2,FALSE())),"")</f>
        <v/>
      </c>
      <c r="D831" s="16"/>
      <c r="E831" s="16"/>
      <c r="F831" s="15"/>
      <c r="G831" s="15"/>
      <c r="H831" s="17" t="str">
        <f aca="true">IF(AND(A831&lt;&gt;"",G831="",F831&lt;&gt;"",F831&lt;TODAY()),TODAY()-F831,"")</f>
        <v/>
      </c>
      <c r="I831" s="16"/>
    </row>
    <row r="832" customFormat="false" ht="15" hidden="false" customHeight="false" outlineLevel="0" collapsed="false">
      <c r="A832" s="15"/>
      <c r="B832" s="16"/>
      <c r="C832" s="13" t="str">
        <f aca="false">IFERROR(IF(B832="","",VLOOKUP(B832,Inventory!A:B,2,FALSE())),"")</f>
        <v/>
      </c>
      <c r="D832" s="16"/>
      <c r="E832" s="16"/>
      <c r="F832" s="15"/>
      <c r="G832" s="15"/>
      <c r="H832" s="17" t="str">
        <f aca="true">IF(AND(A832&lt;&gt;"",G832="",F832&lt;&gt;"",F832&lt;TODAY()),TODAY()-F832,"")</f>
        <v/>
      </c>
      <c r="I832" s="16"/>
    </row>
    <row r="833" customFormat="false" ht="15" hidden="false" customHeight="false" outlineLevel="0" collapsed="false">
      <c r="A833" s="15"/>
      <c r="B833" s="16"/>
      <c r="C833" s="13" t="str">
        <f aca="false">IFERROR(IF(B833="","",VLOOKUP(B833,Inventory!A:B,2,FALSE())),"")</f>
        <v/>
      </c>
      <c r="D833" s="16"/>
      <c r="E833" s="16"/>
      <c r="F833" s="15"/>
      <c r="G833" s="15"/>
      <c r="H833" s="17" t="str">
        <f aca="true">IF(AND(A833&lt;&gt;"",G833="",F833&lt;&gt;"",F833&lt;TODAY()),TODAY()-F833,"")</f>
        <v/>
      </c>
      <c r="I833" s="16"/>
    </row>
    <row r="834" customFormat="false" ht="15" hidden="false" customHeight="false" outlineLevel="0" collapsed="false">
      <c r="A834" s="15"/>
      <c r="B834" s="16"/>
      <c r="C834" s="13" t="str">
        <f aca="false">IFERROR(IF(B834="","",VLOOKUP(B834,Inventory!A:B,2,FALSE())),"")</f>
        <v/>
      </c>
      <c r="D834" s="16"/>
      <c r="E834" s="16"/>
      <c r="F834" s="15"/>
      <c r="G834" s="15"/>
      <c r="H834" s="17" t="str">
        <f aca="true">IF(AND(A834&lt;&gt;"",G834="",F834&lt;&gt;"",F834&lt;TODAY()),TODAY()-F834,"")</f>
        <v/>
      </c>
      <c r="I834" s="16"/>
    </row>
    <row r="835" customFormat="false" ht="15" hidden="false" customHeight="false" outlineLevel="0" collapsed="false">
      <c r="A835" s="15"/>
      <c r="B835" s="16"/>
      <c r="C835" s="13" t="str">
        <f aca="false">IFERROR(IF(B835="","",VLOOKUP(B835,Inventory!A:B,2,FALSE())),"")</f>
        <v/>
      </c>
      <c r="D835" s="16"/>
      <c r="E835" s="16"/>
      <c r="F835" s="15"/>
      <c r="G835" s="15"/>
      <c r="H835" s="17" t="str">
        <f aca="true">IF(AND(A835&lt;&gt;"",G835="",F835&lt;&gt;"",F835&lt;TODAY()),TODAY()-F835,"")</f>
        <v/>
      </c>
      <c r="I835" s="16"/>
    </row>
    <row r="836" customFormat="false" ht="15" hidden="false" customHeight="false" outlineLevel="0" collapsed="false">
      <c r="A836" s="15"/>
      <c r="B836" s="16"/>
      <c r="C836" s="13" t="str">
        <f aca="false">IFERROR(IF(B836="","",VLOOKUP(B836,Inventory!A:B,2,FALSE())),"")</f>
        <v/>
      </c>
      <c r="D836" s="16"/>
      <c r="E836" s="16"/>
      <c r="F836" s="15"/>
      <c r="G836" s="15"/>
      <c r="H836" s="17" t="str">
        <f aca="true">IF(AND(A836&lt;&gt;"",G836="",F836&lt;&gt;"",F836&lt;TODAY()),TODAY()-F836,"")</f>
        <v/>
      </c>
      <c r="I836" s="16"/>
    </row>
    <row r="837" customFormat="false" ht="15" hidden="false" customHeight="false" outlineLevel="0" collapsed="false">
      <c r="A837" s="15"/>
      <c r="B837" s="16"/>
      <c r="C837" s="13" t="str">
        <f aca="false">IFERROR(IF(B837="","",VLOOKUP(B837,Inventory!A:B,2,FALSE())),"")</f>
        <v/>
      </c>
      <c r="D837" s="16"/>
      <c r="E837" s="16"/>
      <c r="F837" s="15"/>
      <c r="G837" s="15"/>
      <c r="H837" s="17" t="str">
        <f aca="true">IF(AND(A837&lt;&gt;"",G837="",F837&lt;&gt;"",F837&lt;TODAY()),TODAY()-F837,"")</f>
        <v/>
      </c>
      <c r="I837" s="16"/>
    </row>
    <row r="838" customFormat="false" ht="15" hidden="false" customHeight="false" outlineLevel="0" collapsed="false">
      <c r="A838" s="15"/>
      <c r="B838" s="16"/>
      <c r="C838" s="13" t="str">
        <f aca="false">IFERROR(IF(B838="","",VLOOKUP(B838,Inventory!A:B,2,FALSE())),"")</f>
        <v/>
      </c>
      <c r="D838" s="16"/>
      <c r="E838" s="16"/>
      <c r="F838" s="15"/>
      <c r="G838" s="15"/>
      <c r="H838" s="17" t="str">
        <f aca="true">IF(AND(A838&lt;&gt;"",G838="",F838&lt;&gt;"",F838&lt;TODAY()),TODAY()-F838,"")</f>
        <v/>
      </c>
      <c r="I838" s="16"/>
    </row>
    <row r="839" customFormat="false" ht="15" hidden="false" customHeight="false" outlineLevel="0" collapsed="false">
      <c r="A839" s="15"/>
      <c r="B839" s="16"/>
      <c r="C839" s="13" t="str">
        <f aca="false">IFERROR(IF(B839="","",VLOOKUP(B839,Inventory!A:B,2,FALSE())),"")</f>
        <v/>
      </c>
      <c r="D839" s="16"/>
      <c r="E839" s="16"/>
      <c r="F839" s="15"/>
      <c r="G839" s="15"/>
      <c r="H839" s="17" t="str">
        <f aca="true">IF(AND(A839&lt;&gt;"",G839="",F839&lt;&gt;"",F839&lt;TODAY()),TODAY()-F839,"")</f>
        <v/>
      </c>
      <c r="I839" s="16"/>
    </row>
    <row r="840" customFormat="false" ht="15" hidden="false" customHeight="false" outlineLevel="0" collapsed="false">
      <c r="A840" s="15"/>
      <c r="B840" s="16"/>
      <c r="C840" s="13" t="str">
        <f aca="false">IFERROR(IF(B840="","",VLOOKUP(B840,Inventory!A:B,2,FALSE())),"")</f>
        <v/>
      </c>
      <c r="D840" s="16"/>
      <c r="E840" s="16"/>
      <c r="F840" s="15"/>
      <c r="G840" s="15"/>
      <c r="H840" s="17" t="str">
        <f aca="true">IF(AND(A840&lt;&gt;"",G840="",F840&lt;&gt;"",F840&lt;TODAY()),TODAY()-F840,"")</f>
        <v/>
      </c>
      <c r="I840" s="16"/>
    </row>
    <row r="841" customFormat="false" ht="15" hidden="false" customHeight="false" outlineLevel="0" collapsed="false">
      <c r="A841" s="15"/>
      <c r="B841" s="16"/>
      <c r="C841" s="13" t="str">
        <f aca="false">IFERROR(IF(B841="","",VLOOKUP(B841,Inventory!A:B,2,FALSE())),"")</f>
        <v/>
      </c>
      <c r="D841" s="16"/>
      <c r="E841" s="16"/>
      <c r="F841" s="15"/>
      <c r="G841" s="15"/>
      <c r="H841" s="17" t="str">
        <f aca="true">IF(AND(A841&lt;&gt;"",G841="",F841&lt;&gt;"",F841&lt;TODAY()),TODAY()-F841,"")</f>
        <v/>
      </c>
      <c r="I841" s="16"/>
    </row>
    <row r="842" customFormat="false" ht="15" hidden="false" customHeight="false" outlineLevel="0" collapsed="false">
      <c r="A842" s="15"/>
      <c r="B842" s="16"/>
      <c r="C842" s="13" t="str">
        <f aca="false">IFERROR(IF(B842="","",VLOOKUP(B842,Inventory!A:B,2,FALSE())),"")</f>
        <v/>
      </c>
      <c r="D842" s="16"/>
      <c r="E842" s="16"/>
      <c r="F842" s="15"/>
      <c r="G842" s="15"/>
      <c r="H842" s="17" t="str">
        <f aca="true">IF(AND(A842&lt;&gt;"",G842="",F842&lt;&gt;"",F842&lt;TODAY()),TODAY()-F842,"")</f>
        <v/>
      </c>
      <c r="I842" s="16"/>
    </row>
    <row r="843" customFormat="false" ht="15" hidden="false" customHeight="false" outlineLevel="0" collapsed="false">
      <c r="A843" s="15"/>
      <c r="B843" s="16"/>
      <c r="C843" s="13" t="str">
        <f aca="false">IFERROR(IF(B843="","",VLOOKUP(B843,Inventory!A:B,2,FALSE())),"")</f>
        <v/>
      </c>
      <c r="D843" s="16"/>
      <c r="E843" s="16"/>
      <c r="F843" s="15"/>
      <c r="G843" s="15"/>
      <c r="H843" s="17" t="str">
        <f aca="true">IF(AND(A843&lt;&gt;"",G843="",F843&lt;&gt;"",F843&lt;TODAY()),TODAY()-F843,"")</f>
        <v/>
      </c>
      <c r="I843" s="16"/>
    </row>
    <row r="844" customFormat="false" ht="15" hidden="false" customHeight="false" outlineLevel="0" collapsed="false">
      <c r="A844" s="15"/>
      <c r="B844" s="16"/>
      <c r="C844" s="13" t="str">
        <f aca="false">IFERROR(IF(B844="","",VLOOKUP(B844,Inventory!A:B,2,FALSE())),"")</f>
        <v/>
      </c>
      <c r="D844" s="16"/>
      <c r="E844" s="16"/>
      <c r="F844" s="15"/>
      <c r="G844" s="15"/>
      <c r="H844" s="17" t="str">
        <f aca="true">IF(AND(A844&lt;&gt;"",G844="",F844&lt;&gt;"",F844&lt;TODAY()),TODAY()-F844,"")</f>
        <v/>
      </c>
      <c r="I844" s="16"/>
    </row>
    <row r="845" customFormat="false" ht="15" hidden="false" customHeight="false" outlineLevel="0" collapsed="false">
      <c r="A845" s="15"/>
      <c r="B845" s="16"/>
      <c r="C845" s="13" t="str">
        <f aca="false">IFERROR(IF(B845="","",VLOOKUP(B845,Inventory!A:B,2,FALSE())),"")</f>
        <v/>
      </c>
      <c r="D845" s="16"/>
      <c r="E845" s="16"/>
      <c r="F845" s="15"/>
      <c r="G845" s="15"/>
      <c r="H845" s="17" t="str">
        <f aca="true">IF(AND(A845&lt;&gt;"",G845="",F845&lt;&gt;"",F845&lt;TODAY()),TODAY()-F845,"")</f>
        <v/>
      </c>
      <c r="I845" s="16"/>
    </row>
    <row r="846" customFormat="false" ht="15" hidden="false" customHeight="false" outlineLevel="0" collapsed="false">
      <c r="A846" s="15"/>
      <c r="B846" s="16"/>
      <c r="C846" s="13" t="str">
        <f aca="false">IFERROR(IF(B846="","",VLOOKUP(B846,Inventory!A:B,2,FALSE())),"")</f>
        <v/>
      </c>
      <c r="D846" s="16"/>
      <c r="E846" s="16"/>
      <c r="F846" s="15"/>
      <c r="G846" s="15"/>
      <c r="H846" s="17" t="str">
        <f aca="true">IF(AND(A846&lt;&gt;"",G846="",F846&lt;&gt;"",F846&lt;TODAY()),TODAY()-F846,"")</f>
        <v/>
      </c>
      <c r="I846" s="16"/>
    </row>
    <row r="847" customFormat="false" ht="15" hidden="false" customHeight="false" outlineLevel="0" collapsed="false">
      <c r="A847" s="15"/>
      <c r="B847" s="16"/>
      <c r="C847" s="13" t="str">
        <f aca="false">IFERROR(IF(B847="","",VLOOKUP(B847,Inventory!A:B,2,FALSE())),"")</f>
        <v/>
      </c>
      <c r="D847" s="16"/>
      <c r="E847" s="16"/>
      <c r="F847" s="15"/>
      <c r="G847" s="15"/>
      <c r="H847" s="17" t="str">
        <f aca="true">IF(AND(A847&lt;&gt;"",G847="",F847&lt;&gt;"",F847&lt;TODAY()),TODAY()-F847,"")</f>
        <v/>
      </c>
      <c r="I847" s="16"/>
    </row>
    <row r="848" customFormat="false" ht="15" hidden="false" customHeight="false" outlineLevel="0" collapsed="false">
      <c r="A848" s="15"/>
      <c r="B848" s="16"/>
      <c r="C848" s="13" t="str">
        <f aca="false">IFERROR(IF(B848="","",VLOOKUP(B848,Inventory!A:B,2,FALSE())),"")</f>
        <v/>
      </c>
      <c r="D848" s="16"/>
      <c r="E848" s="16"/>
      <c r="F848" s="15"/>
      <c r="G848" s="15"/>
      <c r="H848" s="17" t="str">
        <f aca="true">IF(AND(A848&lt;&gt;"",G848="",F848&lt;&gt;"",F848&lt;TODAY()),TODAY()-F848,"")</f>
        <v/>
      </c>
      <c r="I848" s="16"/>
    </row>
    <row r="849" customFormat="false" ht="15" hidden="false" customHeight="false" outlineLevel="0" collapsed="false">
      <c r="A849" s="15"/>
      <c r="B849" s="16"/>
      <c r="C849" s="13" t="str">
        <f aca="false">IFERROR(IF(B849="","",VLOOKUP(B849,Inventory!A:B,2,FALSE())),"")</f>
        <v/>
      </c>
      <c r="D849" s="16"/>
      <c r="E849" s="16"/>
      <c r="F849" s="15"/>
      <c r="G849" s="15"/>
      <c r="H849" s="17" t="str">
        <f aca="true">IF(AND(A849&lt;&gt;"",G849="",F849&lt;&gt;"",F849&lt;TODAY()),TODAY()-F849,"")</f>
        <v/>
      </c>
      <c r="I849" s="16"/>
    </row>
    <row r="850" customFormat="false" ht="15" hidden="false" customHeight="false" outlineLevel="0" collapsed="false">
      <c r="A850" s="15"/>
      <c r="B850" s="16"/>
      <c r="C850" s="13" t="str">
        <f aca="false">IFERROR(IF(B850="","",VLOOKUP(B850,Inventory!A:B,2,FALSE())),"")</f>
        <v/>
      </c>
      <c r="D850" s="16"/>
      <c r="E850" s="16"/>
      <c r="F850" s="15"/>
      <c r="G850" s="15"/>
      <c r="H850" s="17" t="str">
        <f aca="true">IF(AND(A850&lt;&gt;"",G850="",F850&lt;&gt;"",F850&lt;TODAY()),TODAY()-F850,"")</f>
        <v/>
      </c>
      <c r="I850" s="16"/>
    </row>
    <row r="851" customFormat="false" ht="15" hidden="false" customHeight="false" outlineLevel="0" collapsed="false">
      <c r="A851" s="15"/>
      <c r="B851" s="16"/>
      <c r="C851" s="13" t="str">
        <f aca="false">IFERROR(IF(B851="","",VLOOKUP(B851,Inventory!A:B,2,FALSE())),"")</f>
        <v/>
      </c>
      <c r="D851" s="16"/>
      <c r="E851" s="16"/>
      <c r="F851" s="15"/>
      <c r="G851" s="15"/>
      <c r="H851" s="17" t="str">
        <f aca="true">IF(AND(A851&lt;&gt;"",G851="",F851&lt;&gt;"",F851&lt;TODAY()),TODAY()-F851,"")</f>
        <v/>
      </c>
      <c r="I851" s="16"/>
    </row>
    <row r="852" customFormat="false" ht="15" hidden="false" customHeight="false" outlineLevel="0" collapsed="false">
      <c r="A852" s="15"/>
      <c r="B852" s="16"/>
      <c r="C852" s="13" t="str">
        <f aca="false">IFERROR(IF(B852="","",VLOOKUP(B852,Inventory!A:B,2,FALSE())),"")</f>
        <v/>
      </c>
      <c r="D852" s="16"/>
      <c r="E852" s="16"/>
      <c r="F852" s="15"/>
      <c r="G852" s="15"/>
      <c r="H852" s="17" t="str">
        <f aca="true">IF(AND(A852&lt;&gt;"",G852="",F852&lt;&gt;"",F852&lt;TODAY()),TODAY()-F852,"")</f>
        <v/>
      </c>
      <c r="I852" s="16"/>
    </row>
    <row r="853" customFormat="false" ht="15" hidden="false" customHeight="false" outlineLevel="0" collapsed="false">
      <c r="A853" s="15"/>
      <c r="B853" s="16"/>
      <c r="C853" s="13" t="str">
        <f aca="false">IFERROR(IF(B853="","",VLOOKUP(B853,Inventory!A:B,2,FALSE())),"")</f>
        <v/>
      </c>
      <c r="D853" s="16"/>
      <c r="E853" s="16"/>
      <c r="F853" s="15"/>
      <c r="G853" s="15"/>
      <c r="H853" s="17" t="str">
        <f aca="true">IF(AND(A853&lt;&gt;"",G853="",F853&lt;&gt;"",F853&lt;TODAY()),TODAY()-F853,"")</f>
        <v/>
      </c>
      <c r="I853" s="16"/>
    </row>
    <row r="854" customFormat="false" ht="15" hidden="false" customHeight="false" outlineLevel="0" collapsed="false">
      <c r="A854" s="15"/>
      <c r="B854" s="16"/>
      <c r="C854" s="13" t="str">
        <f aca="false">IFERROR(IF(B854="","",VLOOKUP(B854,Inventory!A:B,2,FALSE())),"")</f>
        <v/>
      </c>
      <c r="D854" s="16"/>
      <c r="E854" s="16"/>
      <c r="F854" s="15"/>
      <c r="G854" s="15"/>
      <c r="H854" s="17" t="str">
        <f aca="true">IF(AND(A854&lt;&gt;"",G854="",F854&lt;&gt;"",F854&lt;TODAY()),TODAY()-F854,"")</f>
        <v/>
      </c>
      <c r="I854" s="16"/>
    </row>
    <row r="855" customFormat="false" ht="15" hidden="false" customHeight="false" outlineLevel="0" collapsed="false">
      <c r="A855" s="15"/>
      <c r="B855" s="16"/>
      <c r="C855" s="13" t="str">
        <f aca="false">IFERROR(IF(B855="","",VLOOKUP(B855,Inventory!A:B,2,FALSE())),"")</f>
        <v/>
      </c>
      <c r="D855" s="16"/>
      <c r="E855" s="16"/>
      <c r="F855" s="15"/>
      <c r="G855" s="15"/>
      <c r="H855" s="17" t="str">
        <f aca="true">IF(AND(A855&lt;&gt;"",G855="",F855&lt;&gt;"",F855&lt;TODAY()),TODAY()-F855,"")</f>
        <v/>
      </c>
      <c r="I855" s="16"/>
    </row>
    <row r="856" customFormat="false" ht="15" hidden="false" customHeight="false" outlineLevel="0" collapsed="false">
      <c r="A856" s="15"/>
      <c r="B856" s="16"/>
      <c r="C856" s="13" t="str">
        <f aca="false">IFERROR(IF(B856="","",VLOOKUP(B856,Inventory!A:B,2,FALSE())),"")</f>
        <v/>
      </c>
      <c r="D856" s="16"/>
      <c r="E856" s="16"/>
      <c r="F856" s="15"/>
      <c r="G856" s="15"/>
      <c r="H856" s="17" t="str">
        <f aca="true">IF(AND(A856&lt;&gt;"",G856="",F856&lt;&gt;"",F856&lt;TODAY()),TODAY()-F856,"")</f>
        <v/>
      </c>
      <c r="I856" s="16"/>
    </row>
    <row r="857" customFormat="false" ht="15" hidden="false" customHeight="false" outlineLevel="0" collapsed="false">
      <c r="A857" s="15"/>
      <c r="B857" s="16"/>
      <c r="C857" s="13" t="str">
        <f aca="false">IFERROR(IF(B857="","",VLOOKUP(B857,Inventory!A:B,2,FALSE())),"")</f>
        <v/>
      </c>
      <c r="D857" s="16"/>
      <c r="E857" s="16"/>
      <c r="F857" s="15"/>
      <c r="G857" s="15"/>
      <c r="H857" s="17" t="str">
        <f aca="true">IF(AND(A857&lt;&gt;"",G857="",F857&lt;&gt;"",F857&lt;TODAY()),TODAY()-F857,"")</f>
        <v/>
      </c>
      <c r="I857" s="16"/>
    </row>
    <row r="858" customFormat="false" ht="15" hidden="false" customHeight="false" outlineLevel="0" collapsed="false">
      <c r="A858" s="15"/>
      <c r="B858" s="16"/>
      <c r="C858" s="13" t="str">
        <f aca="false">IFERROR(IF(B858="","",VLOOKUP(B858,Inventory!A:B,2,FALSE())),"")</f>
        <v/>
      </c>
      <c r="D858" s="16"/>
      <c r="E858" s="16"/>
      <c r="F858" s="15"/>
      <c r="G858" s="15"/>
      <c r="H858" s="17" t="str">
        <f aca="true">IF(AND(A858&lt;&gt;"",G858="",F858&lt;&gt;"",F858&lt;TODAY()),TODAY()-F858,"")</f>
        <v/>
      </c>
      <c r="I858" s="16"/>
    </row>
    <row r="859" customFormat="false" ht="15" hidden="false" customHeight="false" outlineLevel="0" collapsed="false">
      <c r="A859" s="15"/>
      <c r="B859" s="16"/>
      <c r="C859" s="13" t="str">
        <f aca="false">IFERROR(IF(B859="","",VLOOKUP(B859,Inventory!A:B,2,FALSE())),"")</f>
        <v/>
      </c>
      <c r="D859" s="16"/>
      <c r="E859" s="16"/>
      <c r="F859" s="15"/>
      <c r="G859" s="15"/>
      <c r="H859" s="17" t="str">
        <f aca="true">IF(AND(A859&lt;&gt;"",G859="",F859&lt;&gt;"",F859&lt;TODAY()),TODAY()-F859,"")</f>
        <v/>
      </c>
      <c r="I859" s="16"/>
    </row>
    <row r="860" customFormat="false" ht="15" hidden="false" customHeight="false" outlineLevel="0" collapsed="false">
      <c r="A860" s="15"/>
      <c r="B860" s="16"/>
      <c r="C860" s="13" t="str">
        <f aca="false">IFERROR(IF(B860="","",VLOOKUP(B860,Inventory!A:B,2,FALSE())),"")</f>
        <v/>
      </c>
      <c r="D860" s="16"/>
      <c r="E860" s="16"/>
      <c r="F860" s="15"/>
      <c r="G860" s="15"/>
      <c r="H860" s="17" t="str">
        <f aca="true">IF(AND(A860&lt;&gt;"",G860="",F860&lt;&gt;"",F860&lt;TODAY()),TODAY()-F860,"")</f>
        <v/>
      </c>
      <c r="I860" s="16"/>
    </row>
    <row r="861" customFormat="false" ht="15" hidden="false" customHeight="false" outlineLevel="0" collapsed="false">
      <c r="A861" s="15"/>
      <c r="B861" s="16"/>
      <c r="C861" s="13" t="str">
        <f aca="false">IFERROR(IF(B861="","",VLOOKUP(B861,Inventory!A:B,2,FALSE())),"")</f>
        <v/>
      </c>
      <c r="D861" s="16"/>
      <c r="E861" s="16"/>
      <c r="F861" s="15"/>
      <c r="G861" s="15"/>
      <c r="H861" s="17" t="str">
        <f aca="true">IF(AND(A861&lt;&gt;"",G861="",F861&lt;&gt;"",F861&lt;TODAY()),TODAY()-F861,"")</f>
        <v/>
      </c>
      <c r="I861" s="16"/>
    </row>
    <row r="862" customFormat="false" ht="15" hidden="false" customHeight="false" outlineLevel="0" collapsed="false">
      <c r="A862" s="15"/>
      <c r="B862" s="16"/>
      <c r="C862" s="13" t="str">
        <f aca="false">IFERROR(IF(B862="","",VLOOKUP(B862,Inventory!A:B,2,FALSE())),"")</f>
        <v/>
      </c>
      <c r="D862" s="16"/>
      <c r="E862" s="16"/>
      <c r="F862" s="15"/>
      <c r="G862" s="15"/>
      <c r="H862" s="17" t="str">
        <f aca="true">IF(AND(A862&lt;&gt;"",G862="",F862&lt;&gt;"",F862&lt;TODAY()),TODAY()-F862,"")</f>
        <v/>
      </c>
      <c r="I862" s="16"/>
    </row>
    <row r="863" customFormat="false" ht="15" hidden="false" customHeight="false" outlineLevel="0" collapsed="false">
      <c r="A863" s="15"/>
      <c r="B863" s="16"/>
      <c r="C863" s="13" t="str">
        <f aca="false">IFERROR(IF(B863="","",VLOOKUP(B863,Inventory!A:B,2,FALSE())),"")</f>
        <v/>
      </c>
      <c r="D863" s="16"/>
      <c r="E863" s="16"/>
      <c r="F863" s="15"/>
      <c r="G863" s="15"/>
      <c r="H863" s="17" t="str">
        <f aca="true">IF(AND(A863&lt;&gt;"",G863="",F863&lt;&gt;"",F863&lt;TODAY()),TODAY()-F863,"")</f>
        <v/>
      </c>
      <c r="I863" s="16"/>
    </row>
    <row r="864" customFormat="false" ht="15" hidden="false" customHeight="false" outlineLevel="0" collapsed="false">
      <c r="A864" s="15"/>
      <c r="B864" s="16"/>
      <c r="C864" s="13" t="str">
        <f aca="false">IFERROR(IF(B864="","",VLOOKUP(B864,Inventory!A:B,2,FALSE())),"")</f>
        <v/>
      </c>
      <c r="D864" s="16"/>
      <c r="E864" s="16"/>
      <c r="F864" s="15"/>
      <c r="G864" s="15"/>
      <c r="H864" s="17" t="str">
        <f aca="true">IF(AND(A864&lt;&gt;"",G864="",F864&lt;&gt;"",F864&lt;TODAY()),TODAY()-F864,"")</f>
        <v/>
      </c>
      <c r="I864" s="16"/>
    </row>
    <row r="865" customFormat="false" ht="15" hidden="false" customHeight="false" outlineLevel="0" collapsed="false">
      <c r="A865" s="15"/>
      <c r="B865" s="16"/>
      <c r="C865" s="13" t="str">
        <f aca="false">IFERROR(IF(B865="","",VLOOKUP(B865,Inventory!A:B,2,FALSE())),"")</f>
        <v/>
      </c>
      <c r="D865" s="16"/>
      <c r="E865" s="16"/>
      <c r="F865" s="15"/>
      <c r="G865" s="15"/>
      <c r="H865" s="17" t="str">
        <f aca="true">IF(AND(A865&lt;&gt;"",G865="",F865&lt;&gt;"",F865&lt;TODAY()),TODAY()-F865,"")</f>
        <v/>
      </c>
      <c r="I865" s="16"/>
    </row>
    <row r="866" customFormat="false" ht="15" hidden="false" customHeight="false" outlineLevel="0" collapsed="false">
      <c r="A866" s="15"/>
      <c r="B866" s="16"/>
      <c r="C866" s="13" t="str">
        <f aca="false">IFERROR(IF(B866="","",VLOOKUP(B866,Inventory!A:B,2,FALSE())),"")</f>
        <v/>
      </c>
      <c r="D866" s="16"/>
      <c r="E866" s="16"/>
      <c r="F866" s="15"/>
      <c r="G866" s="15"/>
      <c r="H866" s="17" t="str">
        <f aca="true">IF(AND(A866&lt;&gt;"",G866="",F866&lt;&gt;"",F866&lt;TODAY()),TODAY()-F866,"")</f>
        <v/>
      </c>
      <c r="I866" s="16"/>
    </row>
    <row r="867" customFormat="false" ht="15" hidden="false" customHeight="false" outlineLevel="0" collapsed="false">
      <c r="A867" s="15"/>
      <c r="B867" s="16"/>
      <c r="C867" s="13" t="str">
        <f aca="false">IFERROR(IF(B867="","",VLOOKUP(B867,Inventory!A:B,2,FALSE())),"")</f>
        <v/>
      </c>
      <c r="D867" s="16"/>
      <c r="E867" s="16"/>
      <c r="F867" s="15"/>
      <c r="G867" s="15"/>
      <c r="H867" s="17" t="str">
        <f aca="true">IF(AND(A867&lt;&gt;"",G867="",F867&lt;&gt;"",F867&lt;TODAY()),TODAY()-F867,"")</f>
        <v/>
      </c>
      <c r="I867" s="16"/>
    </row>
    <row r="868" customFormat="false" ht="15" hidden="false" customHeight="false" outlineLevel="0" collapsed="false">
      <c r="A868" s="15"/>
      <c r="B868" s="16"/>
      <c r="C868" s="13" t="str">
        <f aca="false">IFERROR(IF(B868="","",VLOOKUP(B868,Inventory!A:B,2,FALSE())),"")</f>
        <v/>
      </c>
      <c r="D868" s="16"/>
      <c r="E868" s="16"/>
      <c r="F868" s="15"/>
      <c r="G868" s="15"/>
      <c r="H868" s="17" t="str">
        <f aca="true">IF(AND(A868&lt;&gt;"",G868="",F868&lt;&gt;"",F868&lt;TODAY()),TODAY()-F868,"")</f>
        <v/>
      </c>
      <c r="I868" s="16"/>
    </row>
    <row r="869" customFormat="false" ht="15" hidden="false" customHeight="false" outlineLevel="0" collapsed="false">
      <c r="A869" s="15"/>
      <c r="B869" s="16"/>
      <c r="C869" s="13" t="str">
        <f aca="false">IFERROR(IF(B869="","",VLOOKUP(B869,Inventory!A:B,2,FALSE())),"")</f>
        <v/>
      </c>
      <c r="D869" s="16"/>
      <c r="E869" s="16"/>
      <c r="F869" s="15"/>
      <c r="G869" s="15"/>
      <c r="H869" s="17" t="str">
        <f aca="true">IF(AND(A869&lt;&gt;"",G869="",F869&lt;&gt;"",F869&lt;TODAY()),TODAY()-F869,"")</f>
        <v/>
      </c>
      <c r="I869" s="16"/>
    </row>
    <row r="870" customFormat="false" ht="15" hidden="false" customHeight="false" outlineLevel="0" collapsed="false">
      <c r="A870" s="15"/>
      <c r="B870" s="16"/>
      <c r="C870" s="13" t="str">
        <f aca="false">IFERROR(IF(B870="","",VLOOKUP(B870,Inventory!A:B,2,FALSE())),"")</f>
        <v/>
      </c>
      <c r="D870" s="16"/>
      <c r="E870" s="16"/>
      <c r="F870" s="15"/>
      <c r="G870" s="15"/>
      <c r="H870" s="17" t="str">
        <f aca="true">IF(AND(A870&lt;&gt;"",G870="",F870&lt;&gt;"",F870&lt;TODAY()),TODAY()-F870,"")</f>
        <v/>
      </c>
      <c r="I870" s="16"/>
    </row>
    <row r="871" customFormat="false" ht="15" hidden="false" customHeight="false" outlineLevel="0" collapsed="false">
      <c r="A871" s="15"/>
      <c r="B871" s="16"/>
      <c r="C871" s="13" t="str">
        <f aca="false">IFERROR(IF(B871="","",VLOOKUP(B871,Inventory!A:B,2,FALSE())),"")</f>
        <v/>
      </c>
      <c r="D871" s="16"/>
      <c r="E871" s="16"/>
      <c r="F871" s="15"/>
      <c r="G871" s="15"/>
      <c r="H871" s="17" t="str">
        <f aca="true">IF(AND(A871&lt;&gt;"",G871="",F871&lt;&gt;"",F871&lt;TODAY()),TODAY()-F871,"")</f>
        <v/>
      </c>
      <c r="I871" s="16"/>
    </row>
    <row r="872" customFormat="false" ht="15" hidden="false" customHeight="false" outlineLevel="0" collapsed="false">
      <c r="A872" s="15"/>
      <c r="B872" s="16"/>
      <c r="C872" s="13" t="str">
        <f aca="false">IFERROR(IF(B872="","",VLOOKUP(B872,Inventory!A:B,2,FALSE())),"")</f>
        <v/>
      </c>
      <c r="D872" s="16"/>
      <c r="E872" s="16"/>
      <c r="F872" s="15"/>
      <c r="G872" s="15"/>
      <c r="H872" s="17" t="str">
        <f aca="true">IF(AND(A872&lt;&gt;"",G872="",F872&lt;&gt;"",F872&lt;TODAY()),TODAY()-F872,"")</f>
        <v/>
      </c>
      <c r="I872" s="16"/>
    </row>
    <row r="873" customFormat="false" ht="15" hidden="false" customHeight="false" outlineLevel="0" collapsed="false">
      <c r="A873" s="15"/>
      <c r="B873" s="16"/>
      <c r="C873" s="13" t="str">
        <f aca="false">IFERROR(IF(B873="","",VLOOKUP(B873,Inventory!A:B,2,FALSE())),"")</f>
        <v/>
      </c>
      <c r="D873" s="16"/>
      <c r="E873" s="16"/>
      <c r="F873" s="15"/>
      <c r="G873" s="15"/>
      <c r="H873" s="17" t="str">
        <f aca="true">IF(AND(A873&lt;&gt;"",G873="",F873&lt;&gt;"",F873&lt;TODAY()),TODAY()-F873,"")</f>
        <v/>
      </c>
      <c r="I873" s="16"/>
    </row>
    <row r="874" customFormat="false" ht="15" hidden="false" customHeight="false" outlineLevel="0" collapsed="false">
      <c r="A874" s="15"/>
      <c r="B874" s="16"/>
      <c r="C874" s="13" t="str">
        <f aca="false">IFERROR(IF(B874="","",VLOOKUP(B874,Inventory!A:B,2,FALSE())),"")</f>
        <v/>
      </c>
      <c r="D874" s="16"/>
      <c r="E874" s="16"/>
      <c r="F874" s="15"/>
      <c r="G874" s="15"/>
      <c r="H874" s="17" t="str">
        <f aca="true">IF(AND(A874&lt;&gt;"",G874="",F874&lt;&gt;"",F874&lt;TODAY()),TODAY()-F874,"")</f>
        <v/>
      </c>
      <c r="I874" s="16"/>
    </row>
    <row r="875" customFormat="false" ht="15" hidden="false" customHeight="false" outlineLevel="0" collapsed="false">
      <c r="A875" s="15"/>
      <c r="B875" s="16"/>
      <c r="C875" s="13" t="str">
        <f aca="false">IFERROR(IF(B875="","",VLOOKUP(B875,Inventory!A:B,2,FALSE())),"")</f>
        <v/>
      </c>
      <c r="D875" s="16"/>
      <c r="E875" s="16"/>
      <c r="F875" s="15"/>
      <c r="G875" s="15"/>
      <c r="H875" s="17" t="str">
        <f aca="true">IF(AND(A875&lt;&gt;"",G875="",F875&lt;&gt;"",F875&lt;TODAY()),TODAY()-F875,"")</f>
        <v/>
      </c>
      <c r="I875" s="16"/>
    </row>
    <row r="876" customFormat="false" ht="15" hidden="false" customHeight="false" outlineLevel="0" collapsed="false">
      <c r="A876" s="15"/>
      <c r="B876" s="16"/>
      <c r="C876" s="13" t="str">
        <f aca="false">IFERROR(IF(B876="","",VLOOKUP(B876,Inventory!A:B,2,FALSE())),"")</f>
        <v/>
      </c>
      <c r="D876" s="16"/>
      <c r="E876" s="16"/>
      <c r="F876" s="15"/>
      <c r="G876" s="15"/>
      <c r="H876" s="17" t="str">
        <f aca="true">IF(AND(A876&lt;&gt;"",G876="",F876&lt;&gt;"",F876&lt;TODAY()),TODAY()-F876,"")</f>
        <v/>
      </c>
      <c r="I876" s="16"/>
    </row>
    <row r="877" customFormat="false" ht="15" hidden="false" customHeight="false" outlineLevel="0" collapsed="false">
      <c r="A877" s="15"/>
      <c r="B877" s="16"/>
      <c r="C877" s="13" t="str">
        <f aca="false">IFERROR(IF(B877="","",VLOOKUP(B877,Inventory!A:B,2,FALSE())),"")</f>
        <v/>
      </c>
      <c r="D877" s="16"/>
      <c r="E877" s="16"/>
      <c r="F877" s="15"/>
      <c r="G877" s="15"/>
      <c r="H877" s="17" t="str">
        <f aca="true">IF(AND(A877&lt;&gt;"",G877="",F877&lt;&gt;"",F877&lt;TODAY()),TODAY()-F877,"")</f>
        <v/>
      </c>
      <c r="I877" s="16"/>
    </row>
    <row r="878" customFormat="false" ht="15" hidden="false" customHeight="false" outlineLevel="0" collapsed="false">
      <c r="A878" s="15"/>
      <c r="B878" s="16"/>
      <c r="C878" s="13" t="str">
        <f aca="false">IFERROR(IF(B878="","",VLOOKUP(B878,Inventory!A:B,2,FALSE())),"")</f>
        <v/>
      </c>
      <c r="D878" s="16"/>
      <c r="E878" s="16"/>
      <c r="F878" s="15"/>
      <c r="G878" s="15"/>
      <c r="H878" s="17" t="str">
        <f aca="true">IF(AND(A878&lt;&gt;"",G878="",F878&lt;&gt;"",F878&lt;TODAY()),TODAY()-F878,"")</f>
        <v/>
      </c>
      <c r="I878" s="16"/>
    </row>
    <row r="879" customFormat="false" ht="15" hidden="false" customHeight="false" outlineLevel="0" collapsed="false">
      <c r="A879" s="15"/>
      <c r="B879" s="16"/>
      <c r="C879" s="13" t="str">
        <f aca="false">IFERROR(IF(B879="","",VLOOKUP(B879,Inventory!A:B,2,FALSE())),"")</f>
        <v/>
      </c>
      <c r="D879" s="16"/>
      <c r="E879" s="16"/>
      <c r="F879" s="15"/>
      <c r="G879" s="15"/>
      <c r="H879" s="17" t="str">
        <f aca="true">IF(AND(A879&lt;&gt;"",G879="",F879&lt;&gt;"",F879&lt;TODAY()),TODAY()-F879,"")</f>
        <v/>
      </c>
      <c r="I879" s="16"/>
    </row>
    <row r="880" customFormat="false" ht="15" hidden="false" customHeight="false" outlineLevel="0" collapsed="false">
      <c r="A880" s="15"/>
      <c r="B880" s="16"/>
      <c r="C880" s="13" t="str">
        <f aca="false">IFERROR(IF(B880="","",VLOOKUP(B880,Inventory!A:B,2,FALSE())),"")</f>
        <v/>
      </c>
      <c r="D880" s="16"/>
      <c r="E880" s="16"/>
      <c r="F880" s="15"/>
      <c r="G880" s="15"/>
      <c r="H880" s="17" t="str">
        <f aca="true">IF(AND(A880&lt;&gt;"",G880="",F880&lt;&gt;"",F880&lt;TODAY()),TODAY()-F880,"")</f>
        <v/>
      </c>
      <c r="I880" s="16"/>
    </row>
    <row r="881" customFormat="false" ht="15" hidden="false" customHeight="false" outlineLevel="0" collapsed="false">
      <c r="A881" s="15"/>
      <c r="B881" s="16"/>
      <c r="C881" s="13" t="str">
        <f aca="false">IFERROR(IF(B881="","",VLOOKUP(B881,Inventory!A:B,2,FALSE())),"")</f>
        <v/>
      </c>
      <c r="D881" s="16"/>
      <c r="E881" s="16"/>
      <c r="F881" s="15"/>
      <c r="G881" s="15"/>
      <c r="H881" s="17" t="str">
        <f aca="true">IF(AND(A881&lt;&gt;"",G881="",F881&lt;&gt;"",F881&lt;TODAY()),TODAY()-F881,"")</f>
        <v/>
      </c>
      <c r="I881" s="16"/>
    </row>
    <row r="882" customFormat="false" ht="15" hidden="false" customHeight="false" outlineLevel="0" collapsed="false">
      <c r="A882" s="15"/>
      <c r="B882" s="16"/>
      <c r="C882" s="13" t="str">
        <f aca="false">IFERROR(IF(B882="","",VLOOKUP(B882,Inventory!A:B,2,FALSE())),"")</f>
        <v/>
      </c>
      <c r="D882" s="16"/>
      <c r="E882" s="16"/>
      <c r="F882" s="15"/>
      <c r="G882" s="15"/>
      <c r="H882" s="17" t="str">
        <f aca="true">IF(AND(A882&lt;&gt;"",G882="",F882&lt;&gt;"",F882&lt;TODAY()),TODAY()-F882,"")</f>
        <v/>
      </c>
      <c r="I882" s="16"/>
    </row>
    <row r="883" customFormat="false" ht="15" hidden="false" customHeight="false" outlineLevel="0" collapsed="false">
      <c r="A883" s="15"/>
      <c r="B883" s="16"/>
      <c r="C883" s="13" t="str">
        <f aca="false">IFERROR(IF(B883="","",VLOOKUP(B883,Inventory!A:B,2,FALSE())),"")</f>
        <v/>
      </c>
      <c r="D883" s="16"/>
      <c r="E883" s="16"/>
      <c r="F883" s="15"/>
      <c r="G883" s="15"/>
      <c r="H883" s="17" t="str">
        <f aca="true">IF(AND(A883&lt;&gt;"",G883="",F883&lt;&gt;"",F883&lt;TODAY()),TODAY()-F883,"")</f>
        <v/>
      </c>
      <c r="I883" s="16"/>
    </row>
    <row r="884" customFormat="false" ht="15" hidden="false" customHeight="false" outlineLevel="0" collapsed="false">
      <c r="A884" s="15"/>
      <c r="B884" s="16"/>
      <c r="C884" s="13" t="str">
        <f aca="false">IFERROR(IF(B884="","",VLOOKUP(B884,Inventory!A:B,2,FALSE())),"")</f>
        <v/>
      </c>
      <c r="D884" s="16"/>
      <c r="E884" s="16"/>
      <c r="F884" s="15"/>
      <c r="G884" s="15"/>
      <c r="H884" s="17" t="str">
        <f aca="true">IF(AND(A884&lt;&gt;"",G884="",F884&lt;&gt;"",F884&lt;TODAY()),TODAY()-F884,"")</f>
        <v/>
      </c>
      <c r="I884" s="16"/>
    </row>
    <row r="885" customFormat="false" ht="15" hidden="false" customHeight="false" outlineLevel="0" collapsed="false">
      <c r="A885" s="15"/>
      <c r="B885" s="16"/>
      <c r="C885" s="13" t="str">
        <f aca="false">IFERROR(IF(B885="","",VLOOKUP(B885,Inventory!A:B,2,FALSE())),"")</f>
        <v/>
      </c>
      <c r="D885" s="16"/>
      <c r="E885" s="16"/>
      <c r="F885" s="15"/>
      <c r="G885" s="15"/>
      <c r="H885" s="17" t="str">
        <f aca="true">IF(AND(A885&lt;&gt;"",G885="",F885&lt;&gt;"",F885&lt;TODAY()),TODAY()-F885,"")</f>
        <v/>
      </c>
      <c r="I885" s="16"/>
    </row>
    <row r="886" customFormat="false" ht="15" hidden="false" customHeight="false" outlineLevel="0" collapsed="false">
      <c r="A886" s="15"/>
      <c r="B886" s="16"/>
      <c r="C886" s="13" t="str">
        <f aca="false">IFERROR(IF(B886="","",VLOOKUP(B886,Inventory!A:B,2,FALSE())),"")</f>
        <v/>
      </c>
      <c r="D886" s="16"/>
      <c r="E886" s="16"/>
      <c r="F886" s="15"/>
      <c r="G886" s="15"/>
      <c r="H886" s="17" t="str">
        <f aca="true">IF(AND(A886&lt;&gt;"",G886="",F886&lt;&gt;"",F886&lt;TODAY()),TODAY()-F886,"")</f>
        <v/>
      </c>
      <c r="I886" s="16"/>
    </row>
    <row r="887" customFormat="false" ht="15" hidden="false" customHeight="false" outlineLevel="0" collapsed="false">
      <c r="A887" s="15"/>
      <c r="B887" s="16"/>
      <c r="C887" s="13" t="str">
        <f aca="false">IFERROR(IF(B887="","",VLOOKUP(B887,Inventory!A:B,2,FALSE())),"")</f>
        <v/>
      </c>
      <c r="D887" s="16"/>
      <c r="E887" s="16"/>
      <c r="F887" s="15"/>
      <c r="G887" s="15"/>
      <c r="H887" s="17" t="str">
        <f aca="true">IF(AND(A887&lt;&gt;"",G887="",F887&lt;&gt;"",F887&lt;TODAY()),TODAY()-F887,"")</f>
        <v/>
      </c>
      <c r="I887" s="16"/>
    </row>
    <row r="888" customFormat="false" ht="15" hidden="false" customHeight="false" outlineLevel="0" collapsed="false">
      <c r="A888" s="15"/>
      <c r="B888" s="16"/>
      <c r="C888" s="13" t="str">
        <f aca="false">IFERROR(IF(B888="","",VLOOKUP(B888,Inventory!A:B,2,FALSE())),"")</f>
        <v/>
      </c>
      <c r="D888" s="16"/>
      <c r="E888" s="16"/>
      <c r="F888" s="15"/>
      <c r="G888" s="15"/>
      <c r="H888" s="17" t="str">
        <f aca="true">IF(AND(A888&lt;&gt;"",G888="",F888&lt;&gt;"",F888&lt;TODAY()),TODAY()-F888,"")</f>
        <v/>
      </c>
      <c r="I888" s="16"/>
    </row>
    <row r="889" customFormat="false" ht="15" hidden="false" customHeight="false" outlineLevel="0" collapsed="false">
      <c r="A889" s="15"/>
      <c r="B889" s="16"/>
      <c r="C889" s="13" t="str">
        <f aca="false">IFERROR(IF(B889="","",VLOOKUP(B889,Inventory!A:B,2,FALSE())),"")</f>
        <v/>
      </c>
      <c r="D889" s="16"/>
      <c r="E889" s="16"/>
      <c r="F889" s="15"/>
      <c r="G889" s="15"/>
      <c r="H889" s="17" t="str">
        <f aca="true">IF(AND(A889&lt;&gt;"",G889="",F889&lt;&gt;"",F889&lt;TODAY()),TODAY()-F889,"")</f>
        <v/>
      </c>
      <c r="I889" s="16"/>
    </row>
    <row r="890" customFormat="false" ht="15" hidden="false" customHeight="false" outlineLevel="0" collapsed="false">
      <c r="A890" s="15"/>
      <c r="B890" s="16"/>
      <c r="C890" s="13" t="str">
        <f aca="false">IFERROR(IF(B890="","",VLOOKUP(B890,Inventory!A:B,2,FALSE())),"")</f>
        <v/>
      </c>
      <c r="D890" s="16"/>
      <c r="E890" s="16"/>
      <c r="F890" s="15"/>
      <c r="G890" s="15"/>
      <c r="H890" s="17" t="str">
        <f aca="true">IF(AND(A890&lt;&gt;"",G890="",F890&lt;&gt;"",F890&lt;TODAY()),TODAY()-F890,"")</f>
        <v/>
      </c>
      <c r="I890" s="16"/>
    </row>
    <row r="891" customFormat="false" ht="15" hidden="false" customHeight="false" outlineLevel="0" collapsed="false">
      <c r="A891" s="15"/>
      <c r="B891" s="16"/>
      <c r="C891" s="13" t="str">
        <f aca="false">IFERROR(IF(B891="","",VLOOKUP(B891,Inventory!A:B,2,FALSE())),"")</f>
        <v/>
      </c>
      <c r="D891" s="16"/>
      <c r="E891" s="16"/>
      <c r="F891" s="15"/>
      <c r="G891" s="15"/>
      <c r="H891" s="17" t="str">
        <f aca="true">IF(AND(A891&lt;&gt;"",G891="",F891&lt;&gt;"",F891&lt;TODAY()),TODAY()-F891,"")</f>
        <v/>
      </c>
      <c r="I891" s="16"/>
    </row>
    <row r="892" customFormat="false" ht="15" hidden="false" customHeight="false" outlineLevel="0" collapsed="false">
      <c r="A892" s="15"/>
      <c r="B892" s="16"/>
      <c r="C892" s="13" t="str">
        <f aca="false">IFERROR(IF(B892="","",VLOOKUP(B892,Inventory!A:B,2,FALSE())),"")</f>
        <v/>
      </c>
      <c r="D892" s="16"/>
      <c r="E892" s="16"/>
      <c r="F892" s="15"/>
      <c r="G892" s="15"/>
      <c r="H892" s="17" t="str">
        <f aca="true">IF(AND(A892&lt;&gt;"",G892="",F892&lt;&gt;"",F892&lt;TODAY()),TODAY()-F892,"")</f>
        <v/>
      </c>
      <c r="I892" s="16"/>
    </row>
    <row r="893" customFormat="false" ht="15" hidden="false" customHeight="false" outlineLevel="0" collapsed="false">
      <c r="A893" s="15"/>
      <c r="B893" s="16"/>
      <c r="C893" s="13" t="str">
        <f aca="false">IFERROR(IF(B893="","",VLOOKUP(B893,Inventory!A:B,2,FALSE())),"")</f>
        <v/>
      </c>
      <c r="D893" s="16"/>
      <c r="E893" s="16"/>
      <c r="F893" s="15"/>
      <c r="G893" s="15"/>
      <c r="H893" s="17" t="str">
        <f aca="true">IF(AND(A893&lt;&gt;"",G893="",F893&lt;&gt;"",F893&lt;TODAY()),TODAY()-F893,"")</f>
        <v/>
      </c>
      <c r="I893" s="16"/>
    </row>
    <row r="894" customFormat="false" ht="15" hidden="false" customHeight="false" outlineLevel="0" collapsed="false">
      <c r="A894" s="15"/>
      <c r="B894" s="16"/>
      <c r="C894" s="13" t="str">
        <f aca="false">IFERROR(IF(B894="","",VLOOKUP(B894,Inventory!A:B,2,FALSE())),"")</f>
        <v/>
      </c>
      <c r="D894" s="16"/>
      <c r="E894" s="16"/>
      <c r="F894" s="15"/>
      <c r="G894" s="15"/>
      <c r="H894" s="17" t="str">
        <f aca="true">IF(AND(A894&lt;&gt;"",G894="",F894&lt;&gt;"",F894&lt;TODAY()),TODAY()-F894,"")</f>
        <v/>
      </c>
      <c r="I894" s="16"/>
    </row>
    <row r="895" customFormat="false" ht="15" hidden="false" customHeight="false" outlineLevel="0" collapsed="false">
      <c r="A895" s="15"/>
      <c r="B895" s="16"/>
      <c r="C895" s="13" t="str">
        <f aca="false">IFERROR(IF(B895="","",VLOOKUP(B895,Inventory!A:B,2,FALSE())),"")</f>
        <v/>
      </c>
      <c r="D895" s="16"/>
      <c r="E895" s="16"/>
      <c r="F895" s="15"/>
      <c r="G895" s="15"/>
      <c r="H895" s="17" t="str">
        <f aca="true">IF(AND(A895&lt;&gt;"",G895="",F895&lt;&gt;"",F895&lt;TODAY()),TODAY()-F895,"")</f>
        <v/>
      </c>
      <c r="I895" s="16"/>
    </row>
    <row r="896" customFormat="false" ht="15" hidden="false" customHeight="false" outlineLevel="0" collapsed="false">
      <c r="A896" s="15"/>
      <c r="B896" s="16"/>
      <c r="C896" s="13" t="str">
        <f aca="false">IFERROR(IF(B896="","",VLOOKUP(B896,Inventory!A:B,2,FALSE())),"")</f>
        <v/>
      </c>
      <c r="D896" s="16"/>
      <c r="E896" s="16"/>
      <c r="F896" s="15"/>
      <c r="G896" s="15"/>
      <c r="H896" s="17" t="str">
        <f aca="true">IF(AND(A896&lt;&gt;"",G896="",F896&lt;&gt;"",F896&lt;TODAY()),TODAY()-F896,"")</f>
        <v/>
      </c>
      <c r="I896" s="16"/>
    </row>
    <row r="897" customFormat="false" ht="15" hidden="false" customHeight="false" outlineLevel="0" collapsed="false">
      <c r="A897" s="15"/>
      <c r="B897" s="16"/>
      <c r="C897" s="13" t="str">
        <f aca="false">IFERROR(IF(B897="","",VLOOKUP(B897,Inventory!A:B,2,FALSE())),"")</f>
        <v/>
      </c>
      <c r="D897" s="16"/>
      <c r="E897" s="16"/>
      <c r="F897" s="15"/>
      <c r="G897" s="15"/>
      <c r="H897" s="17" t="str">
        <f aca="true">IF(AND(A897&lt;&gt;"",G897="",F897&lt;&gt;"",F897&lt;TODAY()),TODAY()-F897,"")</f>
        <v/>
      </c>
      <c r="I897" s="16"/>
    </row>
    <row r="898" customFormat="false" ht="15" hidden="false" customHeight="false" outlineLevel="0" collapsed="false">
      <c r="A898" s="15"/>
      <c r="B898" s="16"/>
      <c r="C898" s="13" t="str">
        <f aca="false">IFERROR(IF(B898="","",VLOOKUP(B898,Inventory!A:B,2,FALSE())),"")</f>
        <v/>
      </c>
      <c r="D898" s="16"/>
      <c r="E898" s="16"/>
      <c r="F898" s="15"/>
      <c r="G898" s="15"/>
      <c r="H898" s="17" t="str">
        <f aca="true">IF(AND(A898&lt;&gt;"",G898="",F898&lt;&gt;"",F898&lt;TODAY()),TODAY()-F898,"")</f>
        <v/>
      </c>
      <c r="I898" s="16"/>
    </row>
    <row r="899" customFormat="false" ht="15" hidden="false" customHeight="false" outlineLevel="0" collapsed="false">
      <c r="A899" s="15"/>
      <c r="B899" s="16"/>
      <c r="C899" s="13" t="str">
        <f aca="false">IFERROR(IF(B899="","",VLOOKUP(B899,Inventory!A:B,2,FALSE())),"")</f>
        <v/>
      </c>
      <c r="D899" s="16"/>
      <c r="E899" s="16"/>
      <c r="F899" s="15"/>
      <c r="G899" s="15"/>
      <c r="H899" s="17" t="str">
        <f aca="true">IF(AND(A899&lt;&gt;"",G899="",F899&lt;&gt;"",F899&lt;TODAY()),TODAY()-F899,"")</f>
        <v/>
      </c>
      <c r="I899" s="16"/>
    </row>
    <row r="900" customFormat="false" ht="15" hidden="false" customHeight="false" outlineLevel="0" collapsed="false">
      <c r="A900" s="15"/>
      <c r="B900" s="16"/>
      <c r="C900" s="13" t="str">
        <f aca="false">IFERROR(IF(B900="","",VLOOKUP(B900,Inventory!A:B,2,FALSE())),"")</f>
        <v/>
      </c>
      <c r="D900" s="16"/>
      <c r="E900" s="16"/>
      <c r="F900" s="15"/>
      <c r="G900" s="15"/>
      <c r="H900" s="17" t="str">
        <f aca="true">IF(AND(A900&lt;&gt;"",G900="",F900&lt;&gt;"",F900&lt;TODAY()),TODAY()-F900,"")</f>
        <v/>
      </c>
      <c r="I900" s="16"/>
    </row>
    <row r="901" customFormat="false" ht="15" hidden="false" customHeight="false" outlineLevel="0" collapsed="false">
      <c r="A901" s="15"/>
      <c r="B901" s="16"/>
      <c r="C901" s="13" t="str">
        <f aca="false">IFERROR(IF(B901="","",VLOOKUP(B901,Inventory!A:B,2,FALSE())),"")</f>
        <v/>
      </c>
      <c r="D901" s="16"/>
      <c r="E901" s="16"/>
      <c r="F901" s="15"/>
      <c r="G901" s="15"/>
      <c r="H901" s="17" t="str">
        <f aca="true">IF(AND(A901&lt;&gt;"",G901="",F901&lt;&gt;"",F901&lt;TODAY()),TODAY()-F901,"")</f>
        <v/>
      </c>
      <c r="I901" s="16"/>
    </row>
    <row r="902" customFormat="false" ht="15" hidden="false" customHeight="false" outlineLevel="0" collapsed="false">
      <c r="A902" s="15"/>
      <c r="B902" s="16"/>
      <c r="C902" s="13" t="str">
        <f aca="false">IFERROR(IF(B902="","",VLOOKUP(B902,Inventory!A:B,2,FALSE())),"")</f>
        <v/>
      </c>
      <c r="D902" s="16"/>
      <c r="E902" s="16"/>
      <c r="F902" s="15"/>
      <c r="G902" s="15"/>
      <c r="H902" s="17" t="str">
        <f aca="true">IF(AND(A902&lt;&gt;"",G902="",F902&lt;&gt;"",F902&lt;TODAY()),TODAY()-F902,"")</f>
        <v/>
      </c>
      <c r="I902" s="16"/>
    </row>
    <row r="903" customFormat="false" ht="15" hidden="false" customHeight="false" outlineLevel="0" collapsed="false">
      <c r="A903" s="15"/>
      <c r="B903" s="16"/>
      <c r="C903" s="13" t="str">
        <f aca="false">IFERROR(IF(B903="","",VLOOKUP(B903,Inventory!A:B,2,FALSE())),"")</f>
        <v/>
      </c>
      <c r="D903" s="16"/>
      <c r="E903" s="16"/>
      <c r="F903" s="15"/>
      <c r="G903" s="15"/>
      <c r="H903" s="17" t="str">
        <f aca="true">IF(AND(A903&lt;&gt;"",G903="",F903&lt;&gt;"",F903&lt;TODAY()),TODAY()-F903,"")</f>
        <v/>
      </c>
      <c r="I903" s="16"/>
    </row>
    <row r="904" customFormat="false" ht="15" hidden="false" customHeight="false" outlineLevel="0" collapsed="false">
      <c r="A904" s="15"/>
      <c r="B904" s="16"/>
      <c r="C904" s="13" t="str">
        <f aca="false">IFERROR(IF(B904="","",VLOOKUP(B904,Inventory!A:B,2,FALSE())),"")</f>
        <v/>
      </c>
      <c r="D904" s="16"/>
      <c r="E904" s="16"/>
      <c r="F904" s="15"/>
      <c r="G904" s="15"/>
      <c r="H904" s="17" t="str">
        <f aca="true">IF(AND(A904&lt;&gt;"",G904="",F904&lt;&gt;"",F904&lt;TODAY()),TODAY()-F904,"")</f>
        <v/>
      </c>
      <c r="I904" s="16"/>
    </row>
    <row r="905" customFormat="false" ht="15" hidden="false" customHeight="false" outlineLevel="0" collapsed="false">
      <c r="A905" s="15"/>
      <c r="B905" s="16"/>
      <c r="C905" s="13" t="str">
        <f aca="false">IFERROR(IF(B905="","",VLOOKUP(B905,Inventory!A:B,2,FALSE())),"")</f>
        <v/>
      </c>
      <c r="D905" s="16"/>
      <c r="E905" s="16"/>
      <c r="F905" s="15"/>
      <c r="G905" s="15"/>
      <c r="H905" s="17" t="str">
        <f aca="true">IF(AND(A905&lt;&gt;"",G905="",F905&lt;&gt;"",F905&lt;TODAY()),TODAY()-F905,"")</f>
        <v/>
      </c>
      <c r="I905" s="16"/>
    </row>
    <row r="906" customFormat="false" ht="15" hidden="false" customHeight="false" outlineLevel="0" collapsed="false">
      <c r="A906" s="15"/>
      <c r="B906" s="16"/>
      <c r="C906" s="13" t="str">
        <f aca="false">IFERROR(IF(B906="","",VLOOKUP(B906,Inventory!A:B,2,FALSE())),"")</f>
        <v/>
      </c>
      <c r="D906" s="16"/>
      <c r="E906" s="16"/>
      <c r="F906" s="15"/>
      <c r="G906" s="15"/>
      <c r="H906" s="17" t="str">
        <f aca="true">IF(AND(A906&lt;&gt;"",G906="",F906&lt;&gt;"",F906&lt;TODAY()),TODAY()-F906,"")</f>
        <v/>
      </c>
      <c r="I906" s="16"/>
    </row>
    <row r="907" customFormat="false" ht="15" hidden="false" customHeight="false" outlineLevel="0" collapsed="false">
      <c r="A907" s="15"/>
      <c r="B907" s="16"/>
      <c r="C907" s="13" t="str">
        <f aca="false">IFERROR(IF(B907="","",VLOOKUP(B907,Inventory!A:B,2,FALSE())),"")</f>
        <v/>
      </c>
      <c r="D907" s="16"/>
      <c r="E907" s="16"/>
      <c r="F907" s="15"/>
      <c r="G907" s="15"/>
      <c r="H907" s="17" t="str">
        <f aca="true">IF(AND(A907&lt;&gt;"",G907="",F907&lt;&gt;"",F907&lt;TODAY()),TODAY()-F907,"")</f>
        <v/>
      </c>
      <c r="I907" s="16"/>
    </row>
    <row r="908" customFormat="false" ht="15" hidden="false" customHeight="false" outlineLevel="0" collapsed="false">
      <c r="A908" s="15"/>
      <c r="B908" s="16"/>
      <c r="C908" s="13" t="str">
        <f aca="false">IFERROR(IF(B908="","",VLOOKUP(B908,Inventory!A:B,2,FALSE())),"")</f>
        <v/>
      </c>
      <c r="D908" s="16"/>
      <c r="E908" s="16"/>
      <c r="F908" s="15"/>
      <c r="G908" s="15"/>
      <c r="H908" s="17" t="str">
        <f aca="true">IF(AND(A908&lt;&gt;"",G908="",F908&lt;&gt;"",F908&lt;TODAY()),TODAY()-F908,"")</f>
        <v/>
      </c>
      <c r="I908" s="16"/>
    </row>
    <row r="909" customFormat="false" ht="15" hidden="false" customHeight="false" outlineLevel="0" collapsed="false">
      <c r="A909" s="15"/>
      <c r="B909" s="16"/>
      <c r="C909" s="13" t="str">
        <f aca="false">IFERROR(IF(B909="","",VLOOKUP(B909,Inventory!A:B,2,FALSE())),"")</f>
        <v/>
      </c>
      <c r="D909" s="16"/>
      <c r="E909" s="16"/>
      <c r="F909" s="15"/>
      <c r="G909" s="15"/>
      <c r="H909" s="17" t="str">
        <f aca="true">IF(AND(A909&lt;&gt;"",G909="",F909&lt;&gt;"",F909&lt;TODAY()),TODAY()-F909,"")</f>
        <v/>
      </c>
      <c r="I909" s="16"/>
    </row>
    <row r="910" customFormat="false" ht="15" hidden="false" customHeight="false" outlineLevel="0" collapsed="false">
      <c r="A910" s="15"/>
      <c r="B910" s="16"/>
      <c r="C910" s="13" t="str">
        <f aca="false">IFERROR(IF(B910="","",VLOOKUP(B910,Inventory!A:B,2,FALSE())),"")</f>
        <v/>
      </c>
      <c r="D910" s="16"/>
      <c r="E910" s="16"/>
      <c r="F910" s="15"/>
      <c r="G910" s="15"/>
      <c r="H910" s="17" t="str">
        <f aca="true">IF(AND(A910&lt;&gt;"",G910="",F910&lt;&gt;"",F910&lt;TODAY()),TODAY()-F910,"")</f>
        <v/>
      </c>
      <c r="I910" s="16"/>
    </row>
    <row r="911" customFormat="false" ht="15" hidden="false" customHeight="false" outlineLevel="0" collapsed="false">
      <c r="A911" s="15"/>
      <c r="B911" s="16"/>
      <c r="C911" s="13" t="str">
        <f aca="false">IFERROR(IF(B911="","",VLOOKUP(B911,Inventory!A:B,2,FALSE())),"")</f>
        <v/>
      </c>
      <c r="D911" s="16"/>
      <c r="E911" s="16"/>
      <c r="F911" s="15"/>
      <c r="G911" s="15"/>
      <c r="H911" s="17" t="str">
        <f aca="true">IF(AND(A911&lt;&gt;"",G911="",F911&lt;&gt;"",F911&lt;TODAY()),TODAY()-F911,"")</f>
        <v/>
      </c>
      <c r="I911" s="16"/>
    </row>
    <row r="912" customFormat="false" ht="15" hidden="false" customHeight="false" outlineLevel="0" collapsed="false">
      <c r="A912" s="15"/>
      <c r="B912" s="16"/>
      <c r="C912" s="13" t="str">
        <f aca="false">IFERROR(IF(B912="","",VLOOKUP(B912,Inventory!A:B,2,FALSE())),"")</f>
        <v/>
      </c>
      <c r="D912" s="16"/>
      <c r="E912" s="16"/>
      <c r="F912" s="15"/>
      <c r="G912" s="15"/>
      <c r="H912" s="17" t="str">
        <f aca="true">IF(AND(A912&lt;&gt;"",G912="",F912&lt;&gt;"",F912&lt;TODAY()),TODAY()-F912,"")</f>
        <v/>
      </c>
      <c r="I912" s="16"/>
    </row>
    <row r="913" customFormat="false" ht="15" hidden="false" customHeight="false" outlineLevel="0" collapsed="false">
      <c r="A913" s="15"/>
      <c r="B913" s="16"/>
      <c r="C913" s="13" t="str">
        <f aca="false">IFERROR(IF(B913="","",VLOOKUP(B913,Inventory!A:B,2,FALSE())),"")</f>
        <v/>
      </c>
      <c r="D913" s="16"/>
      <c r="E913" s="16"/>
      <c r="F913" s="15"/>
      <c r="G913" s="15"/>
      <c r="H913" s="17" t="str">
        <f aca="true">IF(AND(A913&lt;&gt;"",G913="",F913&lt;&gt;"",F913&lt;TODAY()),TODAY()-F913,"")</f>
        <v/>
      </c>
      <c r="I913" s="16"/>
    </row>
    <row r="914" customFormat="false" ht="15" hidden="false" customHeight="false" outlineLevel="0" collapsed="false">
      <c r="A914" s="15"/>
      <c r="B914" s="16"/>
      <c r="C914" s="13" t="str">
        <f aca="false">IFERROR(IF(B914="","",VLOOKUP(B914,Inventory!A:B,2,FALSE())),"")</f>
        <v/>
      </c>
      <c r="D914" s="16"/>
      <c r="E914" s="16"/>
      <c r="F914" s="15"/>
      <c r="G914" s="15"/>
      <c r="H914" s="17" t="str">
        <f aca="true">IF(AND(A914&lt;&gt;"",G914="",F914&lt;&gt;"",F914&lt;TODAY()),TODAY()-F914,"")</f>
        <v/>
      </c>
      <c r="I914" s="16"/>
    </row>
    <row r="915" customFormat="false" ht="15" hidden="false" customHeight="false" outlineLevel="0" collapsed="false">
      <c r="A915" s="15"/>
      <c r="B915" s="16"/>
      <c r="C915" s="13" t="str">
        <f aca="false">IFERROR(IF(B915="","",VLOOKUP(B915,Inventory!A:B,2,FALSE())),"")</f>
        <v/>
      </c>
      <c r="D915" s="16"/>
      <c r="E915" s="16"/>
      <c r="F915" s="15"/>
      <c r="G915" s="15"/>
      <c r="H915" s="17" t="str">
        <f aca="true">IF(AND(A915&lt;&gt;"",G915="",F915&lt;&gt;"",F915&lt;TODAY()),TODAY()-F915,"")</f>
        <v/>
      </c>
      <c r="I915" s="16"/>
    </row>
    <row r="916" customFormat="false" ht="15" hidden="false" customHeight="false" outlineLevel="0" collapsed="false">
      <c r="A916" s="15"/>
      <c r="B916" s="16"/>
      <c r="C916" s="13" t="str">
        <f aca="false">IFERROR(IF(B916="","",VLOOKUP(B916,Inventory!A:B,2,FALSE())),"")</f>
        <v/>
      </c>
      <c r="D916" s="16"/>
      <c r="E916" s="16"/>
      <c r="F916" s="15"/>
      <c r="G916" s="15"/>
      <c r="H916" s="17" t="str">
        <f aca="true">IF(AND(A916&lt;&gt;"",G916="",F916&lt;&gt;"",F916&lt;TODAY()),TODAY()-F916,"")</f>
        <v/>
      </c>
      <c r="I916" s="16"/>
    </row>
    <row r="917" customFormat="false" ht="15" hidden="false" customHeight="false" outlineLevel="0" collapsed="false">
      <c r="A917" s="15"/>
      <c r="B917" s="16"/>
      <c r="C917" s="13" t="str">
        <f aca="false">IFERROR(IF(B917="","",VLOOKUP(B917,Inventory!A:B,2,FALSE())),"")</f>
        <v/>
      </c>
      <c r="D917" s="16"/>
      <c r="E917" s="16"/>
      <c r="F917" s="15"/>
      <c r="G917" s="15"/>
      <c r="H917" s="17" t="str">
        <f aca="true">IF(AND(A917&lt;&gt;"",G917="",F917&lt;&gt;"",F917&lt;TODAY()),TODAY()-F917,"")</f>
        <v/>
      </c>
      <c r="I917" s="16"/>
    </row>
    <row r="918" customFormat="false" ht="15" hidden="false" customHeight="false" outlineLevel="0" collapsed="false">
      <c r="A918" s="15"/>
      <c r="B918" s="16"/>
      <c r="C918" s="13" t="str">
        <f aca="false">IFERROR(IF(B918="","",VLOOKUP(B918,Inventory!A:B,2,FALSE())),"")</f>
        <v/>
      </c>
      <c r="D918" s="16"/>
      <c r="E918" s="16"/>
      <c r="F918" s="15"/>
      <c r="G918" s="15"/>
      <c r="H918" s="17" t="str">
        <f aca="true">IF(AND(A918&lt;&gt;"",G918="",F918&lt;&gt;"",F918&lt;TODAY()),TODAY()-F918,"")</f>
        <v/>
      </c>
      <c r="I918" s="16"/>
    </row>
    <row r="919" customFormat="false" ht="15" hidden="false" customHeight="false" outlineLevel="0" collapsed="false">
      <c r="A919" s="15"/>
      <c r="B919" s="16"/>
      <c r="C919" s="13" t="str">
        <f aca="false">IFERROR(IF(B919="","",VLOOKUP(B919,Inventory!A:B,2,FALSE())),"")</f>
        <v/>
      </c>
      <c r="D919" s="16"/>
      <c r="E919" s="16"/>
      <c r="F919" s="15"/>
      <c r="G919" s="15"/>
      <c r="H919" s="17" t="str">
        <f aca="true">IF(AND(A919&lt;&gt;"",G919="",F919&lt;&gt;"",F919&lt;TODAY()),TODAY()-F919,"")</f>
        <v/>
      </c>
      <c r="I919" s="16"/>
    </row>
    <row r="920" customFormat="false" ht="15" hidden="false" customHeight="false" outlineLevel="0" collapsed="false">
      <c r="A920" s="15"/>
      <c r="B920" s="16"/>
      <c r="C920" s="13" t="str">
        <f aca="false">IFERROR(IF(B920="","",VLOOKUP(B920,Inventory!A:B,2,FALSE())),"")</f>
        <v/>
      </c>
      <c r="D920" s="16"/>
      <c r="E920" s="16"/>
      <c r="F920" s="15"/>
      <c r="G920" s="15"/>
      <c r="H920" s="17" t="str">
        <f aca="true">IF(AND(A920&lt;&gt;"",G920="",F920&lt;&gt;"",F920&lt;TODAY()),TODAY()-F920,"")</f>
        <v/>
      </c>
      <c r="I920" s="16"/>
    </row>
    <row r="921" customFormat="false" ht="15" hidden="false" customHeight="false" outlineLevel="0" collapsed="false">
      <c r="A921" s="15"/>
      <c r="B921" s="16"/>
      <c r="C921" s="13" t="str">
        <f aca="false">IFERROR(IF(B921="","",VLOOKUP(B921,Inventory!A:B,2,FALSE())),"")</f>
        <v/>
      </c>
      <c r="D921" s="16"/>
      <c r="E921" s="16"/>
      <c r="F921" s="15"/>
      <c r="G921" s="15"/>
      <c r="H921" s="17" t="str">
        <f aca="true">IF(AND(A921&lt;&gt;"",G921="",F921&lt;&gt;"",F921&lt;TODAY()),TODAY()-F921,"")</f>
        <v/>
      </c>
      <c r="I921" s="16"/>
    </row>
    <row r="922" customFormat="false" ht="15" hidden="false" customHeight="false" outlineLevel="0" collapsed="false">
      <c r="A922" s="15"/>
      <c r="B922" s="16"/>
      <c r="C922" s="13" t="str">
        <f aca="false">IFERROR(IF(B922="","",VLOOKUP(B922,Inventory!A:B,2,FALSE())),"")</f>
        <v/>
      </c>
      <c r="D922" s="16"/>
      <c r="E922" s="16"/>
      <c r="F922" s="15"/>
      <c r="G922" s="15"/>
      <c r="H922" s="17" t="str">
        <f aca="true">IF(AND(A922&lt;&gt;"",G922="",F922&lt;&gt;"",F922&lt;TODAY()),TODAY()-F922,"")</f>
        <v/>
      </c>
      <c r="I922" s="16"/>
    </row>
    <row r="923" customFormat="false" ht="15" hidden="false" customHeight="false" outlineLevel="0" collapsed="false">
      <c r="A923" s="15"/>
      <c r="B923" s="16"/>
      <c r="C923" s="13" t="str">
        <f aca="false">IFERROR(IF(B923="","",VLOOKUP(B923,Inventory!A:B,2,FALSE())),"")</f>
        <v/>
      </c>
      <c r="D923" s="16"/>
      <c r="E923" s="16"/>
      <c r="F923" s="15"/>
      <c r="G923" s="15"/>
      <c r="H923" s="17" t="str">
        <f aca="true">IF(AND(A923&lt;&gt;"",G923="",F923&lt;&gt;"",F923&lt;TODAY()),TODAY()-F923,"")</f>
        <v/>
      </c>
      <c r="I923" s="16"/>
    </row>
    <row r="924" customFormat="false" ht="15" hidden="false" customHeight="false" outlineLevel="0" collapsed="false">
      <c r="A924" s="15"/>
      <c r="B924" s="16"/>
      <c r="C924" s="13" t="str">
        <f aca="false">IFERROR(IF(B924="","",VLOOKUP(B924,Inventory!A:B,2,FALSE())),"")</f>
        <v/>
      </c>
      <c r="D924" s="16"/>
      <c r="E924" s="16"/>
      <c r="F924" s="15"/>
      <c r="G924" s="15"/>
      <c r="H924" s="17" t="str">
        <f aca="true">IF(AND(A924&lt;&gt;"",G924="",F924&lt;&gt;"",F924&lt;TODAY()),TODAY()-F924,"")</f>
        <v/>
      </c>
      <c r="I924" s="16"/>
    </row>
    <row r="925" customFormat="false" ht="15" hidden="false" customHeight="false" outlineLevel="0" collapsed="false">
      <c r="A925" s="15"/>
      <c r="B925" s="16"/>
      <c r="C925" s="13" t="str">
        <f aca="false">IFERROR(IF(B925="","",VLOOKUP(B925,Inventory!A:B,2,FALSE())),"")</f>
        <v/>
      </c>
      <c r="D925" s="16"/>
      <c r="E925" s="16"/>
      <c r="F925" s="15"/>
      <c r="G925" s="15"/>
      <c r="H925" s="17" t="str">
        <f aca="true">IF(AND(A925&lt;&gt;"",G925="",F925&lt;&gt;"",F925&lt;TODAY()),TODAY()-F925,"")</f>
        <v/>
      </c>
      <c r="I925" s="16"/>
    </row>
    <row r="926" customFormat="false" ht="15" hidden="false" customHeight="false" outlineLevel="0" collapsed="false">
      <c r="A926" s="15"/>
      <c r="B926" s="16"/>
      <c r="C926" s="13" t="str">
        <f aca="false">IFERROR(IF(B926="","",VLOOKUP(B926,Inventory!A:B,2,FALSE())),"")</f>
        <v/>
      </c>
      <c r="D926" s="16"/>
      <c r="E926" s="16"/>
      <c r="F926" s="15"/>
      <c r="G926" s="15"/>
      <c r="H926" s="17" t="str">
        <f aca="true">IF(AND(A926&lt;&gt;"",G926="",F926&lt;&gt;"",F926&lt;TODAY()),TODAY()-F926,"")</f>
        <v/>
      </c>
      <c r="I926" s="16"/>
    </row>
    <row r="927" customFormat="false" ht="15" hidden="false" customHeight="false" outlineLevel="0" collapsed="false">
      <c r="A927" s="15"/>
      <c r="B927" s="16"/>
      <c r="C927" s="13" t="str">
        <f aca="false">IFERROR(IF(B927="","",VLOOKUP(B927,Inventory!A:B,2,FALSE())),"")</f>
        <v/>
      </c>
      <c r="D927" s="16"/>
      <c r="E927" s="16"/>
      <c r="F927" s="15"/>
      <c r="G927" s="15"/>
      <c r="H927" s="17" t="str">
        <f aca="true">IF(AND(A927&lt;&gt;"",G927="",F927&lt;&gt;"",F927&lt;TODAY()),TODAY()-F927,"")</f>
        <v/>
      </c>
      <c r="I927" s="16"/>
    </row>
    <row r="928" customFormat="false" ht="15" hidden="false" customHeight="false" outlineLevel="0" collapsed="false">
      <c r="A928" s="15"/>
      <c r="B928" s="16"/>
      <c r="C928" s="13" t="str">
        <f aca="false">IFERROR(IF(B928="","",VLOOKUP(B928,Inventory!A:B,2,FALSE())),"")</f>
        <v/>
      </c>
      <c r="D928" s="16"/>
      <c r="E928" s="16"/>
      <c r="F928" s="15"/>
      <c r="G928" s="15"/>
      <c r="H928" s="17" t="str">
        <f aca="true">IF(AND(A928&lt;&gt;"",G928="",F928&lt;&gt;"",F928&lt;TODAY()),TODAY()-F928,"")</f>
        <v/>
      </c>
      <c r="I928" s="16"/>
    </row>
    <row r="929" customFormat="false" ht="15" hidden="false" customHeight="false" outlineLevel="0" collapsed="false">
      <c r="A929" s="15"/>
      <c r="B929" s="16"/>
      <c r="C929" s="13" t="str">
        <f aca="false">IFERROR(IF(B929="","",VLOOKUP(B929,Inventory!A:B,2,FALSE())),"")</f>
        <v/>
      </c>
      <c r="D929" s="16"/>
      <c r="E929" s="16"/>
      <c r="F929" s="15"/>
      <c r="G929" s="15"/>
      <c r="H929" s="17" t="str">
        <f aca="true">IF(AND(A929&lt;&gt;"",G929="",F929&lt;&gt;"",F929&lt;TODAY()),TODAY()-F929,"")</f>
        <v/>
      </c>
      <c r="I929" s="16"/>
    </row>
    <row r="930" customFormat="false" ht="15" hidden="false" customHeight="false" outlineLevel="0" collapsed="false">
      <c r="A930" s="15"/>
      <c r="B930" s="16"/>
      <c r="C930" s="13" t="str">
        <f aca="false">IFERROR(IF(B930="","",VLOOKUP(B930,Inventory!A:B,2,FALSE())),"")</f>
        <v/>
      </c>
      <c r="D930" s="16"/>
      <c r="E930" s="16"/>
      <c r="F930" s="15"/>
      <c r="G930" s="15"/>
      <c r="H930" s="17" t="str">
        <f aca="true">IF(AND(A930&lt;&gt;"",G930="",F930&lt;&gt;"",F930&lt;TODAY()),TODAY()-F930,"")</f>
        <v/>
      </c>
      <c r="I930" s="16"/>
    </row>
    <row r="931" customFormat="false" ht="15" hidden="false" customHeight="false" outlineLevel="0" collapsed="false">
      <c r="A931" s="15"/>
      <c r="B931" s="16"/>
      <c r="C931" s="13" t="str">
        <f aca="false">IFERROR(IF(B931="","",VLOOKUP(B931,Inventory!A:B,2,FALSE())),"")</f>
        <v/>
      </c>
      <c r="D931" s="16"/>
      <c r="E931" s="16"/>
      <c r="F931" s="15"/>
      <c r="G931" s="15"/>
      <c r="H931" s="17" t="str">
        <f aca="true">IF(AND(A931&lt;&gt;"",G931="",F931&lt;&gt;"",F931&lt;TODAY()),TODAY()-F931,"")</f>
        <v/>
      </c>
      <c r="I931" s="16"/>
    </row>
    <row r="932" customFormat="false" ht="15" hidden="false" customHeight="false" outlineLevel="0" collapsed="false">
      <c r="A932" s="15"/>
      <c r="B932" s="16"/>
      <c r="C932" s="13" t="str">
        <f aca="false">IFERROR(IF(B932="","",VLOOKUP(B932,Inventory!A:B,2,FALSE())),"")</f>
        <v/>
      </c>
      <c r="D932" s="16"/>
      <c r="E932" s="16"/>
      <c r="F932" s="15"/>
      <c r="G932" s="15"/>
      <c r="H932" s="17" t="str">
        <f aca="true">IF(AND(A932&lt;&gt;"",G932="",F932&lt;&gt;"",F932&lt;TODAY()),TODAY()-F932,"")</f>
        <v/>
      </c>
      <c r="I932" s="16"/>
    </row>
    <row r="933" customFormat="false" ht="15" hidden="false" customHeight="false" outlineLevel="0" collapsed="false">
      <c r="A933" s="15"/>
      <c r="B933" s="16"/>
      <c r="C933" s="13" t="str">
        <f aca="false">IFERROR(IF(B933="","",VLOOKUP(B933,Inventory!A:B,2,FALSE())),"")</f>
        <v/>
      </c>
      <c r="D933" s="16"/>
      <c r="E933" s="16"/>
      <c r="F933" s="15"/>
      <c r="G933" s="15"/>
      <c r="H933" s="17" t="str">
        <f aca="true">IF(AND(A933&lt;&gt;"",G933="",F933&lt;&gt;"",F933&lt;TODAY()),TODAY()-F933,"")</f>
        <v/>
      </c>
      <c r="I933" s="16"/>
    </row>
    <row r="934" customFormat="false" ht="15" hidden="false" customHeight="false" outlineLevel="0" collapsed="false">
      <c r="A934" s="15"/>
      <c r="B934" s="16"/>
      <c r="C934" s="13" t="str">
        <f aca="false">IFERROR(IF(B934="","",VLOOKUP(B934,Inventory!A:B,2,FALSE())),"")</f>
        <v/>
      </c>
      <c r="D934" s="16"/>
      <c r="E934" s="16"/>
      <c r="F934" s="15"/>
      <c r="G934" s="15"/>
      <c r="H934" s="17" t="str">
        <f aca="true">IF(AND(A934&lt;&gt;"",G934="",F934&lt;&gt;"",F934&lt;TODAY()),TODAY()-F934,"")</f>
        <v/>
      </c>
      <c r="I934" s="16"/>
    </row>
    <row r="935" customFormat="false" ht="15" hidden="false" customHeight="false" outlineLevel="0" collapsed="false">
      <c r="A935" s="15"/>
      <c r="B935" s="16"/>
      <c r="C935" s="13" t="str">
        <f aca="false">IFERROR(IF(B935="","",VLOOKUP(B935,Inventory!A:B,2,FALSE())),"")</f>
        <v/>
      </c>
      <c r="D935" s="16"/>
      <c r="E935" s="16"/>
      <c r="F935" s="15"/>
      <c r="G935" s="15"/>
      <c r="H935" s="17" t="str">
        <f aca="true">IF(AND(A935&lt;&gt;"",G935="",F935&lt;&gt;"",F935&lt;TODAY()),TODAY()-F935,"")</f>
        <v/>
      </c>
      <c r="I935" s="16"/>
    </row>
    <row r="936" customFormat="false" ht="15" hidden="false" customHeight="false" outlineLevel="0" collapsed="false">
      <c r="A936" s="15"/>
      <c r="B936" s="16"/>
      <c r="C936" s="13" t="str">
        <f aca="false">IFERROR(IF(B936="","",VLOOKUP(B936,Inventory!A:B,2,FALSE())),"")</f>
        <v/>
      </c>
      <c r="D936" s="16"/>
      <c r="E936" s="16"/>
      <c r="F936" s="15"/>
      <c r="G936" s="15"/>
      <c r="H936" s="17" t="str">
        <f aca="true">IF(AND(A936&lt;&gt;"",G936="",F936&lt;&gt;"",F936&lt;TODAY()),TODAY()-F936,"")</f>
        <v/>
      </c>
      <c r="I936" s="16"/>
    </row>
    <row r="937" customFormat="false" ht="15" hidden="false" customHeight="false" outlineLevel="0" collapsed="false">
      <c r="A937" s="15"/>
      <c r="B937" s="16"/>
      <c r="C937" s="13" t="str">
        <f aca="false">IFERROR(IF(B937="","",VLOOKUP(B937,Inventory!A:B,2,FALSE())),"")</f>
        <v/>
      </c>
      <c r="D937" s="16"/>
      <c r="E937" s="16"/>
      <c r="F937" s="15"/>
      <c r="G937" s="15"/>
      <c r="H937" s="17" t="str">
        <f aca="true">IF(AND(A937&lt;&gt;"",G937="",F937&lt;&gt;"",F937&lt;TODAY()),TODAY()-F937,"")</f>
        <v/>
      </c>
      <c r="I937" s="16"/>
    </row>
    <row r="938" customFormat="false" ht="15" hidden="false" customHeight="false" outlineLevel="0" collapsed="false">
      <c r="A938" s="15"/>
      <c r="B938" s="16"/>
      <c r="C938" s="13" t="str">
        <f aca="false">IFERROR(IF(B938="","",VLOOKUP(B938,Inventory!A:B,2,FALSE())),"")</f>
        <v/>
      </c>
      <c r="D938" s="16"/>
      <c r="E938" s="16"/>
      <c r="F938" s="15"/>
      <c r="G938" s="15"/>
      <c r="H938" s="17" t="str">
        <f aca="true">IF(AND(A938&lt;&gt;"",G938="",F938&lt;&gt;"",F938&lt;TODAY()),TODAY()-F938,"")</f>
        <v/>
      </c>
      <c r="I938" s="16"/>
    </row>
    <row r="939" customFormat="false" ht="15" hidden="false" customHeight="false" outlineLevel="0" collapsed="false">
      <c r="A939" s="15"/>
      <c r="B939" s="16"/>
      <c r="C939" s="13" t="str">
        <f aca="false">IFERROR(IF(B939="","",VLOOKUP(B939,Inventory!A:B,2,FALSE())),"")</f>
        <v/>
      </c>
      <c r="D939" s="16"/>
      <c r="E939" s="16"/>
      <c r="F939" s="15"/>
      <c r="G939" s="15"/>
      <c r="H939" s="17" t="str">
        <f aca="true">IF(AND(A939&lt;&gt;"",G939="",F939&lt;&gt;"",F939&lt;TODAY()),TODAY()-F939,"")</f>
        <v/>
      </c>
      <c r="I939" s="16"/>
    </row>
    <row r="940" customFormat="false" ht="15" hidden="false" customHeight="false" outlineLevel="0" collapsed="false">
      <c r="A940" s="15"/>
      <c r="B940" s="16"/>
      <c r="C940" s="13" t="str">
        <f aca="false">IFERROR(IF(B940="","",VLOOKUP(B940,Inventory!A:B,2,FALSE())),"")</f>
        <v/>
      </c>
      <c r="D940" s="16"/>
      <c r="E940" s="16"/>
      <c r="F940" s="15"/>
      <c r="G940" s="15"/>
      <c r="H940" s="17" t="str">
        <f aca="true">IF(AND(A940&lt;&gt;"",G940="",F940&lt;&gt;"",F940&lt;TODAY()),TODAY()-F940,"")</f>
        <v/>
      </c>
      <c r="I940" s="16"/>
    </row>
    <row r="941" customFormat="false" ht="15" hidden="false" customHeight="false" outlineLevel="0" collapsed="false">
      <c r="A941" s="15"/>
      <c r="B941" s="16"/>
      <c r="C941" s="13" t="str">
        <f aca="false">IFERROR(IF(B941="","",VLOOKUP(B941,Inventory!A:B,2,FALSE())),"")</f>
        <v/>
      </c>
      <c r="D941" s="16"/>
      <c r="E941" s="16"/>
      <c r="F941" s="15"/>
      <c r="G941" s="15"/>
      <c r="H941" s="17" t="str">
        <f aca="true">IF(AND(A941&lt;&gt;"",G941="",F941&lt;&gt;"",F941&lt;TODAY()),TODAY()-F941,"")</f>
        <v/>
      </c>
      <c r="I941" s="16"/>
    </row>
    <row r="942" customFormat="false" ht="15" hidden="false" customHeight="false" outlineLevel="0" collapsed="false">
      <c r="A942" s="15"/>
      <c r="B942" s="16"/>
      <c r="C942" s="13" t="str">
        <f aca="false">IFERROR(IF(B942="","",VLOOKUP(B942,Inventory!A:B,2,FALSE())),"")</f>
        <v/>
      </c>
      <c r="D942" s="16"/>
      <c r="E942" s="16"/>
      <c r="F942" s="15"/>
      <c r="G942" s="15"/>
      <c r="H942" s="17" t="str">
        <f aca="true">IF(AND(A942&lt;&gt;"",G942="",F942&lt;&gt;"",F942&lt;TODAY()),TODAY()-F942,"")</f>
        <v/>
      </c>
      <c r="I942" s="16"/>
    </row>
    <row r="943" customFormat="false" ht="15" hidden="false" customHeight="false" outlineLevel="0" collapsed="false">
      <c r="A943" s="15"/>
      <c r="B943" s="16"/>
      <c r="C943" s="13" t="str">
        <f aca="false">IFERROR(IF(B943="","",VLOOKUP(B943,Inventory!A:B,2,FALSE())),"")</f>
        <v/>
      </c>
      <c r="D943" s="16"/>
      <c r="E943" s="16"/>
      <c r="F943" s="15"/>
      <c r="G943" s="15"/>
      <c r="H943" s="17" t="str">
        <f aca="true">IF(AND(A943&lt;&gt;"",G943="",F943&lt;&gt;"",F943&lt;TODAY()),TODAY()-F943,"")</f>
        <v/>
      </c>
      <c r="I943" s="16"/>
    </row>
    <row r="944" customFormat="false" ht="15" hidden="false" customHeight="false" outlineLevel="0" collapsed="false">
      <c r="A944" s="15"/>
      <c r="B944" s="16"/>
      <c r="C944" s="13" t="str">
        <f aca="false">IFERROR(IF(B944="","",VLOOKUP(B944,Inventory!A:B,2,FALSE())),"")</f>
        <v/>
      </c>
      <c r="D944" s="16"/>
      <c r="E944" s="16"/>
      <c r="F944" s="15"/>
      <c r="G944" s="15"/>
      <c r="H944" s="17" t="str">
        <f aca="true">IF(AND(A944&lt;&gt;"",G944="",F944&lt;&gt;"",F944&lt;TODAY()),TODAY()-F944,"")</f>
        <v/>
      </c>
      <c r="I944" s="16"/>
    </row>
    <row r="945" customFormat="false" ht="15" hidden="false" customHeight="false" outlineLevel="0" collapsed="false">
      <c r="A945" s="15"/>
      <c r="B945" s="16"/>
      <c r="C945" s="13" t="str">
        <f aca="false">IFERROR(IF(B945="","",VLOOKUP(B945,Inventory!A:B,2,FALSE())),"")</f>
        <v/>
      </c>
      <c r="D945" s="16"/>
      <c r="E945" s="16"/>
      <c r="F945" s="15"/>
      <c r="G945" s="15"/>
      <c r="H945" s="17" t="str">
        <f aca="true">IF(AND(A945&lt;&gt;"",G945="",F945&lt;&gt;"",F945&lt;TODAY()),TODAY()-F945,"")</f>
        <v/>
      </c>
      <c r="I945" s="16"/>
    </row>
    <row r="946" customFormat="false" ht="15" hidden="false" customHeight="false" outlineLevel="0" collapsed="false">
      <c r="A946" s="15"/>
      <c r="B946" s="16"/>
      <c r="C946" s="13" t="str">
        <f aca="false">IFERROR(IF(B946="","",VLOOKUP(B946,Inventory!A:B,2,FALSE())),"")</f>
        <v/>
      </c>
      <c r="D946" s="16"/>
      <c r="E946" s="16"/>
      <c r="F946" s="15"/>
      <c r="G946" s="15"/>
      <c r="H946" s="17" t="str">
        <f aca="true">IF(AND(A946&lt;&gt;"",G946="",F946&lt;&gt;"",F946&lt;TODAY()),TODAY()-F946,"")</f>
        <v/>
      </c>
      <c r="I946" s="16"/>
    </row>
    <row r="947" customFormat="false" ht="15" hidden="false" customHeight="false" outlineLevel="0" collapsed="false">
      <c r="A947" s="15"/>
      <c r="B947" s="16"/>
      <c r="C947" s="13" t="str">
        <f aca="false">IFERROR(IF(B947="","",VLOOKUP(B947,Inventory!A:B,2,FALSE())),"")</f>
        <v/>
      </c>
      <c r="D947" s="16"/>
      <c r="E947" s="16"/>
      <c r="F947" s="15"/>
      <c r="G947" s="15"/>
      <c r="H947" s="17" t="str">
        <f aca="true">IF(AND(A947&lt;&gt;"",G947="",F947&lt;&gt;"",F947&lt;TODAY()),TODAY()-F947,"")</f>
        <v/>
      </c>
      <c r="I947" s="16"/>
    </row>
    <row r="948" customFormat="false" ht="15" hidden="false" customHeight="false" outlineLevel="0" collapsed="false">
      <c r="A948" s="15"/>
      <c r="B948" s="16"/>
      <c r="C948" s="13" t="str">
        <f aca="false">IFERROR(IF(B948="","",VLOOKUP(B948,Inventory!A:B,2,FALSE())),"")</f>
        <v/>
      </c>
      <c r="D948" s="16"/>
      <c r="E948" s="16"/>
      <c r="F948" s="15"/>
      <c r="G948" s="15"/>
      <c r="H948" s="17" t="str">
        <f aca="true">IF(AND(A948&lt;&gt;"",G948="",F948&lt;&gt;"",F948&lt;TODAY()),TODAY()-F948,"")</f>
        <v/>
      </c>
      <c r="I948" s="16"/>
    </row>
    <row r="949" customFormat="false" ht="15" hidden="false" customHeight="false" outlineLevel="0" collapsed="false">
      <c r="A949" s="15"/>
      <c r="B949" s="16"/>
      <c r="C949" s="13" t="str">
        <f aca="false">IFERROR(IF(B949="","",VLOOKUP(B949,Inventory!A:B,2,FALSE())),"")</f>
        <v/>
      </c>
      <c r="D949" s="16"/>
      <c r="E949" s="16"/>
      <c r="F949" s="15"/>
      <c r="G949" s="15"/>
      <c r="H949" s="17" t="str">
        <f aca="true">IF(AND(A949&lt;&gt;"",G949="",F949&lt;&gt;"",F949&lt;TODAY()),TODAY()-F949,"")</f>
        <v/>
      </c>
      <c r="I949" s="16"/>
    </row>
    <row r="950" customFormat="false" ht="15" hidden="false" customHeight="false" outlineLevel="0" collapsed="false">
      <c r="A950" s="15"/>
      <c r="B950" s="16"/>
      <c r="C950" s="13" t="str">
        <f aca="false">IFERROR(IF(B950="","",VLOOKUP(B950,Inventory!A:B,2,FALSE())),"")</f>
        <v/>
      </c>
      <c r="D950" s="16"/>
      <c r="E950" s="16"/>
      <c r="F950" s="15"/>
      <c r="G950" s="15"/>
      <c r="H950" s="17" t="str">
        <f aca="true">IF(AND(A950&lt;&gt;"",G950="",F950&lt;&gt;"",F950&lt;TODAY()),TODAY()-F950,"")</f>
        <v/>
      </c>
      <c r="I950" s="16"/>
    </row>
    <row r="951" customFormat="false" ht="15" hidden="false" customHeight="false" outlineLevel="0" collapsed="false">
      <c r="A951" s="15"/>
      <c r="B951" s="16"/>
      <c r="C951" s="13" t="str">
        <f aca="false">IFERROR(IF(B951="","",VLOOKUP(B951,Inventory!A:B,2,FALSE())),"")</f>
        <v/>
      </c>
      <c r="D951" s="16"/>
      <c r="E951" s="16"/>
      <c r="F951" s="15"/>
      <c r="G951" s="15"/>
      <c r="H951" s="17" t="str">
        <f aca="true">IF(AND(A951&lt;&gt;"",G951="",F951&lt;&gt;"",F951&lt;TODAY()),TODAY()-F951,"")</f>
        <v/>
      </c>
      <c r="I951" s="16"/>
    </row>
    <row r="952" customFormat="false" ht="15" hidden="false" customHeight="false" outlineLevel="0" collapsed="false">
      <c r="A952" s="15"/>
      <c r="B952" s="16"/>
      <c r="C952" s="13" t="str">
        <f aca="false">IFERROR(IF(B952="","",VLOOKUP(B952,Inventory!A:B,2,FALSE())),"")</f>
        <v/>
      </c>
      <c r="D952" s="16"/>
      <c r="E952" s="16"/>
      <c r="F952" s="15"/>
      <c r="G952" s="15"/>
      <c r="H952" s="17" t="str">
        <f aca="true">IF(AND(A952&lt;&gt;"",G952="",F952&lt;&gt;"",F952&lt;TODAY()),TODAY()-F952,"")</f>
        <v/>
      </c>
      <c r="I952" s="16"/>
    </row>
    <row r="953" customFormat="false" ht="15" hidden="false" customHeight="false" outlineLevel="0" collapsed="false">
      <c r="A953" s="15"/>
      <c r="B953" s="16"/>
      <c r="C953" s="13" t="str">
        <f aca="false">IFERROR(IF(B953="","",VLOOKUP(B953,Inventory!A:B,2,FALSE())),"")</f>
        <v/>
      </c>
      <c r="D953" s="16"/>
      <c r="E953" s="16"/>
      <c r="F953" s="15"/>
      <c r="G953" s="15"/>
      <c r="H953" s="17" t="str">
        <f aca="true">IF(AND(A953&lt;&gt;"",G953="",F953&lt;&gt;"",F953&lt;TODAY()),TODAY()-F953,"")</f>
        <v/>
      </c>
      <c r="I953" s="16"/>
    </row>
    <row r="954" customFormat="false" ht="15" hidden="false" customHeight="false" outlineLevel="0" collapsed="false">
      <c r="A954" s="15"/>
      <c r="B954" s="16"/>
      <c r="C954" s="13" t="str">
        <f aca="false">IFERROR(IF(B954="","",VLOOKUP(B954,Inventory!A:B,2,FALSE())),"")</f>
        <v/>
      </c>
      <c r="D954" s="16"/>
      <c r="E954" s="16"/>
      <c r="F954" s="15"/>
      <c r="G954" s="15"/>
      <c r="H954" s="17" t="str">
        <f aca="true">IF(AND(A954&lt;&gt;"",G954="",F954&lt;&gt;"",F954&lt;TODAY()),TODAY()-F954,"")</f>
        <v/>
      </c>
      <c r="I954" s="16"/>
    </row>
    <row r="955" customFormat="false" ht="15" hidden="false" customHeight="false" outlineLevel="0" collapsed="false">
      <c r="A955" s="15"/>
      <c r="B955" s="16"/>
      <c r="C955" s="13" t="str">
        <f aca="false">IFERROR(IF(B955="","",VLOOKUP(B955,Inventory!A:B,2,FALSE())),"")</f>
        <v/>
      </c>
      <c r="D955" s="16"/>
      <c r="E955" s="16"/>
      <c r="F955" s="15"/>
      <c r="G955" s="15"/>
      <c r="H955" s="17" t="str">
        <f aca="true">IF(AND(A955&lt;&gt;"",G955="",F955&lt;&gt;"",F955&lt;TODAY()),TODAY()-F955,"")</f>
        <v/>
      </c>
      <c r="I955" s="16"/>
    </row>
    <row r="956" customFormat="false" ht="15" hidden="false" customHeight="false" outlineLevel="0" collapsed="false">
      <c r="A956" s="15"/>
      <c r="B956" s="16"/>
      <c r="C956" s="13" t="str">
        <f aca="false">IFERROR(IF(B956="","",VLOOKUP(B956,Inventory!A:B,2,FALSE())),"")</f>
        <v/>
      </c>
      <c r="D956" s="16"/>
      <c r="E956" s="16"/>
      <c r="F956" s="15"/>
      <c r="G956" s="15"/>
      <c r="H956" s="17" t="str">
        <f aca="true">IF(AND(A956&lt;&gt;"",G956="",F956&lt;&gt;"",F956&lt;TODAY()),TODAY()-F956,"")</f>
        <v/>
      </c>
      <c r="I956" s="16"/>
    </row>
    <row r="957" customFormat="false" ht="15" hidden="false" customHeight="false" outlineLevel="0" collapsed="false">
      <c r="A957" s="15"/>
      <c r="B957" s="16"/>
      <c r="C957" s="13" t="str">
        <f aca="false">IFERROR(IF(B957="","",VLOOKUP(B957,Inventory!A:B,2,FALSE())),"")</f>
        <v/>
      </c>
      <c r="D957" s="16"/>
      <c r="E957" s="16"/>
      <c r="F957" s="15"/>
      <c r="G957" s="15"/>
      <c r="H957" s="17" t="str">
        <f aca="true">IF(AND(A957&lt;&gt;"",G957="",F957&lt;&gt;"",F957&lt;TODAY()),TODAY()-F957,"")</f>
        <v/>
      </c>
      <c r="I957" s="16"/>
    </row>
    <row r="958" customFormat="false" ht="15" hidden="false" customHeight="false" outlineLevel="0" collapsed="false">
      <c r="A958" s="15"/>
      <c r="B958" s="16"/>
      <c r="C958" s="13" t="str">
        <f aca="false">IFERROR(IF(B958="","",VLOOKUP(B958,Inventory!A:B,2,FALSE())),"")</f>
        <v/>
      </c>
      <c r="D958" s="16"/>
      <c r="E958" s="16"/>
      <c r="F958" s="15"/>
      <c r="G958" s="15"/>
      <c r="H958" s="17" t="str">
        <f aca="true">IF(AND(A958&lt;&gt;"",G958="",F958&lt;&gt;"",F958&lt;TODAY()),TODAY()-F958,"")</f>
        <v/>
      </c>
      <c r="I958" s="16"/>
    </row>
    <row r="959" customFormat="false" ht="15" hidden="false" customHeight="false" outlineLevel="0" collapsed="false">
      <c r="A959" s="15"/>
      <c r="B959" s="16"/>
      <c r="C959" s="13" t="str">
        <f aca="false">IFERROR(IF(B959="","",VLOOKUP(B959,Inventory!A:B,2,FALSE())),"")</f>
        <v/>
      </c>
      <c r="D959" s="16"/>
      <c r="E959" s="16"/>
      <c r="F959" s="15"/>
      <c r="G959" s="15"/>
      <c r="H959" s="17" t="str">
        <f aca="true">IF(AND(A959&lt;&gt;"",G959="",F959&lt;&gt;"",F959&lt;TODAY()),TODAY()-F959,"")</f>
        <v/>
      </c>
      <c r="I959" s="16"/>
    </row>
    <row r="960" customFormat="false" ht="15" hidden="false" customHeight="false" outlineLevel="0" collapsed="false">
      <c r="A960" s="15"/>
      <c r="B960" s="16"/>
      <c r="C960" s="13" t="str">
        <f aca="false">IFERROR(IF(B960="","",VLOOKUP(B960,Inventory!A:B,2,FALSE())),"")</f>
        <v/>
      </c>
      <c r="D960" s="16"/>
      <c r="E960" s="16"/>
      <c r="F960" s="15"/>
      <c r="G960" s="15"/>
      <c r="H960" s="17" t="str">
        <f aca="true">IF(AND(A960&lt;&gt;"",G960="",F960&lt;&gt;"",F960&lt;TODAY()),TODAY()-F960,"")</f>
        <v/>
      </c>
      <c r="I960" s="16"/>
    </row>
    <row r="961" customFormat="false" ht="15" hidden="false" customHeight="false" outlineLevel="0" collapsed="false">
      <c r="A961" s="15"/>
      <c r="B961" s="16"/>
      <c r="C961" s="13" t="str">
        <f aca="false">IFERROR(IF(B961="","",VLOOKUP(B961,Inventory!A:B,2,FALSE())),"")</f>
        <v/>
      </c>
      <c r="D961" s="16"/>
      <c r="E961" s="16"/>
      <c r="F961" s="15"/>
      <c r="G961" s="15"/>
      <c r="H961" s="17" t="str">
        <f aca="true">IF(AND(A961&lt;&gt;"",G961="",F961&lt;&gt;"",F961&lt;TODAY()),TODAY()-F961,"")</f>
        <v/>
      </c>
      <c r="I961" s="16"/>
    </row>
    <row r="962" customFormat="false" ht="15" hidden="false" customHeight="false" outlineLevel="0" collapsed="false">
      <c r="A962" s="15"/>
      <c r="B962" s="16"/>
      <c r="C962" s="13" t="str">
        <f aca="false">IFERROR(IF(B962="","",VLOOKUP(B962,Inventory!A:B,2,FALSE())),"")</f>
        <v/>
      </c>
      <c r="D962" s="16"/>
      <c r="E962" s="16"/>
      <c r="F962" s="15"/>
      <c r="G962" s="15"/>
      <c r="H962" s="17" t="str">
        <f aca="true">IF(AND(A962&lt;&gt;"",G962="",F962&lt;&gt;"",F962&lt;TODAY()),TODAY()-F962,"")</f>
        <v/>
      </c>
      <c r="I962" s="16"/>
    </row>
    <row r="963" customFormat="false" ht="15" hidden="false" customHeight="false" outlineLevel="0" collapsed="false">
      <c r="A963" s="15"/>
      <c r="B963" s="16"/>
      <c r="C963" s="13" t="str">
        <f aca="false">IFERROR(IF(B963="","",VLOOKUP(B963,Inventory!A:B,2,FALSE())),"")</f>
        <v/>
      </c>
      <c r="D963" s="16"/>
      <c r="E963" s="16"/>
      <c r="F963" s="15"/>
      <c r="G963" s="15"/>
      <c r="H963" s="17" t="str">
        <f aca="true">IF(AND(A963&lt;&gt;"",G963="",F963&lt;&gt;"",F963&lt;TODAY()),TODAY()-F963,"")</f>
        <v/>
      </c>
      <c r="I963" s="16"/>
    </row>
    <row r="964" customFormat="false" ht="15" hidden="false" customHeight="false" outlineLevel="0" collapsed="false">
      <c r="A964" s="15"/>
      <c r="B964" s="16"/>
      <c r="C964" s="13" t="str">
        <f aca="false">IFERROR(IF(B964="","",VLOOKUP(B964,Inventory!A:B,2,FALSE())),"")</f>
        <v/>
      </c>
      <c r="D964" s="16"/>
      <c r="E964" s="16"/>
      <c r="F964" s="15"/>
      <c r="G964" s="15"/>
      <c r="H964" s="17" t="str">
        <f aca="true">IF(AND(A964&lt;&gt;"",G964="",F964&lt;&gt;"",F964&lt;TODAY()),TODAY()-F964,"")</f>
        <v/>
      </c>
      <c r="I964" s="16"/>
    </row>
    <row r="965" customFormat="false" ht="15" hidden="false" customHeight="false" outlineLevel="0" collapsed="false">
      <c r="A965" s="15"/>
      <c r="B965" s="16"/>
      <c r="C965" s="13" t="str">
        <f aca="false">IFERROR(IF(B965="","",VLOOKUP(B965,Inventory!A:B,2,FALSE())),"")</f>
        <v/>
      </c>
      <c r="D965" s="16"/>
      <c r="E965" s="16"/>
      <c r="F965" s="15"/>
      <c r="G965" s="15"/>
      <c r="H965" s="17" t="str">
        <f aca="true">IF(AND(A965&lt;&gt;"",G965="",F965&lt;&gt;"",F965&lt;TODAY()),TODAY()-F965,"")</f>
        <v/>
      </c>
      <c r="I965" s="16"/>
    </row>
    <row r="966" customFormat="false" ht="15" hidden="false" customHeight="false" outlineLevel="0" collapsed="false">
      <c r="A966" s="15"/>
      <c r="B966" s="16"/>
      <c r="C966" s="13" t="str">
        <f aca="false">IFERROR(IF(B966="","",VLOOKUP(B966,Inventory!A:B,2,FALSE())),"")</f>
        <v/>
      </c>
      <c r="D966" s="16"/>
      <c r="E966" s="16"/>
      <c r="F966" s="15"/>
      <c r="G966" s="15"/>
      <c r="H966" s="17" t="str">
        <f aca="true">IF(AND(A966&lt;&gt;"",G966="",F966&lt;&gt;"",F966&lt;TODAY()),TODAY()-F966,"")</f>
        <v/>
      </c>
      <c r="I966" s="16"/>
    </row>
    <row r="967" customFormat="false" ht="15" hidden="false" customHeight="false" outlineLevel="0" collapsed="false">
      <c r="A967" s="15"/>
      <c r="B967" s="16"/>
      <c r="C967" s="13" t="str">
        <f aca="false">IFERROR(IF(B967="","",VLOOKUP(B967,Inventory!A:B,2,FALSE())),"")</f>
        <v/>
      </c>
      <c r="D967" s="16"/>
      <c r="E967" s="16"/>
      <c r="F967" s="15"/>
      <c r="G967" s="15"/>
      <c r="H967" s="17" t="str">
        <f aca="true">IF(AND(A967&lt;&gt;"",G967="",F967&lt;&gt;"",F967&lt;TODAY()),TODAY()-F967,"")</f>
        <v/>
      </c>
      <c r="I967" s="16"/>
    </row>
    <row r="968" customFormat="false" ht="15" hidden="false" customHeight="false" outlineLevel="0" collapsed="false">
      <c r="A968" s="15"/>
      <c r="B968" s="16"/>
      <c r="C968" s="13" t="str">
        <f aca="false">IFERROR(IF(B968="","",VLOOKUP(B968,Inventory!A:B,2,FALSE())),"")</f>
        <v/>
      </c>
      <c r="D968" s="16"/>
      <c r="E968" s="16"/>
      <c r="F968" s="15"/>
      <c r="G968" s="15"/>
      <c r="H968" s="17" t="str">
        <f aca="true">IF(AND(A968&lt;&gt;"",G968="",F968&lt;&gt;"",F968&lt;TODAY()),TODAY()-F968,"")</f>
        <v/>
      </c>
      <c r="I968" s="16"/>
    </row>
    <row r="969" customFormat="false" ht="15" hidden="false" customHeight="false" outlineLevel="0" collapsed="false">
      <c r="A969" s="15"/>
      <c r="B969" s="16"/>
      <c r="C969" s="13" t="str">
        <f aca="false">IFERROR(IF(B969="","",VLOOKUP(B969,Inventory!A:B,2,FALSE())),"")</f>
        <v/>
      </c>
      <c r="D969" s="16"/>
      <c r="E969" s="16"/>
      <c r="F969" s="15"/>
      <c r="G969" s="15"/>
      <c r="H969" s="17" t="str">
        <f aca="true">IF(AND(A969&lt;&gt;"",G969="",F969&lt;&gt;"",F969&lt;TODAY()),TODAY()-F969,"")</f>
        <v/>
      </c>
      <c r="I969" s="16"/>
    </row>
    <row r="970" customFormat="false" ht="15" hidden="false" customHeight="false" outlineLevel="0" collapsed="false">
      <c r="A970" s="15"/>
      <c r="B970" s="16"/>
      <c r="C970" s="13" t="str">
        <f aca="false">IFERROR(IF(B970="","",VLOOKUP(B970,Inventory!A:B,2,FALSE())),"")</f>
        <v/>
      </c>
      <c r="D970" s="16"/>
      <c r="E970" s="16"/>
      <c r="F970" s="15"/>
      <c r="G970" s="15"/>
      <c r="H970" s="17" t="str">
        <f aca="true">IF(AND(A970&lt;&gt;"",G970="",F970&lt;&gt;"",F970&lt;TODAY()),TODAY()-F970,"")</f>
        <v/>
      </c>
      <c r="I970" s="16"/>
    </row>
    <row r="971" customFormat="false" ht="15" hidden="false" customHeight="false" outlineLevel="0" collapsed="false">
      <c r="A971" s="15"/>
      <c r="B971" s="16"/>
      <c r="C971" s="13" t="str">
        <f aca="false">IFERROR(IF(B971="","",VLOOKUP(B971,Inventory!A:B,2,FALSE())),"")</f>
        <v/>
      </c>
      <c r="D971" s="16"/>
      <c r="E971" s="16"/>
      <c r="F971" s="15"/>
      <c r="G971" s="15"/>
      <c r="H971" s="17" t="str">
        <f aca="true">IF(AND(A971&lt;&gt;"",G971="",F971&lt;&gt;"",F971&lt;TODAY()),TODAY()-F971,"")</f>
        <v/>
      </c>
      <c r="I971" s="16"/>
    </row>
    <row r="972" customFormat="false" ht="15" hidden="false" customHeight="false" outlineLevel="0" collapsed="false">
      <c r="A972" s="15"/>
      <c r="B972" s="16"/>
      <c r="C972" s="13" t="str">
        <f aca="false">IFERROR(IF(B972="","",VLOOKUP(B972,Inventory!A:B,2,FALSE())),"")</f>
        <v/>
      </c>
      <c r="D972" s="16"/>
      <c r="E972" s="16"/>
      <c r="F972" s="15"/>
      <c r="G972" s="15"/>
      <c r="H972" s="17" t="str">
        <f aca="true">IF(AND(A972&lt;&gt;"",G972="",F972&lt;&gt;"",F972&lt;TODAY()),TODAY()-F972,"")</f>
        <v/>
      </c>
      <c r="I972" s="16"/>
    </row>
    <row r="973" customFormat="false" ht="15" hidden="false" customHeight="false" outlineLevel="0" collapsed="false">
      <c r="A973" s="15"/>
      <c r="B973" s="16"/>
      <c r="C973" s="13" t="str">
        <f aca="false">IFERROR(IF(B973="","",VLOOKUP(B973,Inventory!A:B,2,FALSE())),"")</f>
        <v/>
      </c>
      <c r="D973" s="16"/>
      <c r="E973" s="16"/>
      <c r="F973" s="15"/>
      <c r="G973" s="15"/>
      <c r="H973" s="17" t="str">
        <f aca="true">IF(AND(A973&lt;&gt;"",G973="",F973&lt;&gt;"",F973&lt;TODAY()),TODAY()-F973,"")</f>
        <v/>
      </c>
      <c r="I973" s="16"/>
    </row>
    <row r="974" customFormat="false" ht="15" hidden="false" customHeight="false" outlineLevel="0" collapsed="false">
      <c r="A974" s="15"/>
      <c r="B974" s="16"/>
      <c r="C974" s="13" t="str">
        <f aca="false">IFERROR(IF(B974="","",VLOOKUP(B974,Inventory!A:B,2,FALSE())),"")</f>
        <v/>
      </c>
      <c r="D974" s="16"/>
      <c r="E974" s="16"/>
      <c r="F974" s="15"/>
      <c r="G974" s="15"/>
      <c r="H974" s="17" t="str">
        <f aca="true">IF(AND(A974&lt;&gt;"",G974="",F974&lt;&gt;"",F974&lt;TODAY()),TODAY()-F974,"")</f>
        <v/>
      </c>
      <c r="I974" s="16"/>
    </row>
    <row r="975" customFormat="false" ht="15" hidden="false" customHeight="false" outlineLevel="0" collapsed="false">
      <c r="A975" s="15"/>
      <c r="B975" s="16"/>
      <c r="C975" s="13" t="str">
        <f aca="false">IFERROR(IF(B975="","",VLOOKUP(B975,Inventory!A:B,2,FALSE())),"")</f>
        <v/>
      </c>
      <c r="D975" s="16"/>
      <c r="E975" s="16"/>
      <c r="F975" s="15"/>
      <c r="G975" s="15"/>
      <c r="H975" s="17" t="str">
        <f aca="true">IF(AND(A975&lt;&gt;"",G975="",F975&lt;&gt;"",F975&lt;TODAY()),TODAY()-F975,"")</f>
        <v/>
      </c>
      <c r="I975" s="16"/>
    </row>
    <row r="976" customFormat="false" ht="15" hidden="false" customHeight="false" outlineLevel="0" collapsed="false">
      <c r="A976" s="15"/>
      <c r="B976" s="16"/>
      <c r="C976" s="13" t="str">
        <f aca="false">IFERROR(IF(B976="","",VLOOKUP(B976,Inventory!A:B,2,FALSE())),"")</f>
        <v/>
      </c>
      <c r="D976" s="16"/>
      <c r="E976" s="16"/>
      <c r="F976" s="15"/>
      <c r="G976" s="15"/>
      <c r="H976" s="17" t="str">
        <f aca="true">IF(AND(A976&lt;&gt;"",G976="",F976&lt;&gt;"",F976&lt;TODAY()),TODAY()-F976,"")</f>
        <v/>
      </c>
      <c r="I976" s="16"/>
    </row>
    <row r="977" customFormat="false" ht="15" hidden="false" customHeight="false" outlineLevel="0" collapsed="false">
      <c r="A977" s="15"/>
      <c r="B977" s="16"/>
      <c r="C977" s="13" t="str">
        <f aca="false">IFERROR(IF(B977="","",VLOOKUP(B977,Inventory!A:B,2,FALSE())),"")</f>
        <v/>
      </c>
      <c r="D977" s="16"/>
      <c r="E977" s="16"/>
      <c r="F977" s="15"/>
      <c r="G977" s="15"/>
      <c r="H977" s="17" t="str">
        <f aca="true">IF(AND(A977&lt;&gt;"",G977="",F977&lt;&gt;"",F977&lt;TODAY()),TODAY()-F977,"")</f>
        <v/>
      </c>
      <c r="I977" s="16"/>
    </row>
    <row r="978" customFormat="false" ht="15" hidden="false" customHeight="false" outlineLevel="0" collapsed="false">
      <c r="A978" s="15"/>
      <c r="B978" s="16"/>
      <c r="C978" s="13" t="str">
        <f aca="false">IFERROR(IF(B978="","",VLOOKUP(B978,Inventory!A:B,2,FALSE())),"")</f>
        <v/>
      </c>
      <c r="D978" s="16"/>
      <c r="E978" s="16"/>
      <c r="F978" s="15"/>
      <c r="G978" s="15"/>
      <c r="H978" s="17" t="str">
        <f aca="true">IF(AND(A978&lt;&gt;"",G978="",F978&lt;&gt;"",F978&lt;TODAY()),TODAY()-F978,"")</f>
        <v/>
      </c>
      <c r="I978" s="16"/>
    </row>
    <row r="979" customFormat="false" ht="15" hidden="false" customHeight="false" outlineLevel="0" collapsed="false">
      <c r="A979" s="15"/>
      <c r="B979" s="16"/>
      <c r="C979" s="13" t="str">
        <f aca="false">IFERROR(IF(B979="","",VLOOKUP(B979,Inventory!A:B,2,FALSE())),"")</f>
        <v/>
      </c>
      <c r="D979" s="16"/>
      <c r="E979" s="16"/>
      <c r="F979" s="15"/>
      <c r="G979" s="15"/>
      <c r="H979" s="17" t="str">
        <f aca="true">IF(AND(A979&lt;&gt;"",G979="",F979&lt;&gt;"",F979&lt;TODAY()),TODAY()-F979,"")</f>
        <v/>
      </c>
      <c r="I979" s="16"/>
    </row>
    <row r="980" customFormat="false" ht="15" hidden="false" customHeight="false" outlineLevel="0" collapsed="false">
      <c r="A980" s="15"/>
      <c r="B980" s="16"/>
      <c r="C980" s="13" t="str">
        <f aca="false">IFERROR(IF(B980="","",VLOOKUP(B980,Inventory!A:B,2,FALSE())),"")</f>
        <v/>
      </c>
      <c r="D980" s="16"/>
      <c r="E980" s="16"/>
      <c r="F980" s="15"/>
      <c r="G980" s="15"/>
      <c r="H980" s="17" t="str">
        <f aca="true">IF(AND(A980&lt;&gt;"",G980="",F980&lt;&gt;"",F980&lt;TODAY()),TODAY()-F980,"")</f>
        <v/>
      </c>
      <c r="I980" s="16"/>
    </row>
    <row r="981" customFormat="false" ht="15" hidden="false" customHeight="false" outlineLevel="0" collapsed="false">
      <c r="A981" s="15"/>
      <c r="B981" s="16"/>
      <c r="C981" s="13" t="str">
        <f aca="false">IFERROR(IF(B981="","",VLOOKUP(B981,Inventory!A:B,2,FALSE())),"")</f>
        <v/>
      </c>
      <c r="D981" s="16"/>
      <c r="E981" s="16"/>
      <c r="F981" s="15"/>
      <c r="G981" s="15"/>
      <c r="H981" s="17" t="str">
        <f aca="true">IF(AND(A981&lt;&gt;"",G981="",F981&lt;&gt;"",F981&lt;TODAY()),TODAY()-F981,"")</f>
        <v/>
      </c>
      <c r="I981" s="16"/>
    </row>
    <row r="982" customFormat="false" ht="15" hidden="false" customHeight="false" outlineLevel="0" collapsed="false">
      <c r="A982" s="15"/>
      <c r="B982" s="16"/>
      <c r="C982" s="13" t="str">
        <f aca="false">IFERROR(IF(B982="","",VLOOKUP(B982,Inventory!A:B,2,FALSE())),"")</f>
        <v/>
      </c>
      <c r="D982" s="16"/>
      <c r="E982" s="16"/>
      <c r="F982" s="15"/>
      <c r="G982" s="15"/>
      <c r="H982" s="17" t="str">
        <f aca="true">IF(AND(A982&lt;&gt;"",G982="",F982&lt;&gt;"",F982&lt;TODAY()),TODAY()-F982,"")</f>
        <v/>
      </c>
      <c r="I982" s="16"/>
    </row>
    <row r="983" customFormat="false" ht="15" hidden="false" customHeight="false" outlineLevel="0" collapsed="false">
      <c r="A983" s="15"/>
      <c r="B983" s="16"/>
      <c r="C983" s="13" t="str">
        <f aca="false">IFERROR(IF(B983="","",VLOOKUP(B983,Inventory!A:B,2,FALSE())),"")</f>
        <v/>
      </c>
      <c r="D983" s="16"/>
      <c r="E983" s="16"/>
      <c r="F983" s="15"/>
      <c r="G983" s="15"/>
      <c r="H983" s="17" t="str">
        <f aca="true">IF(AND(A983&lt;&gt;"",G983="",F983&lt;&gt;"",F983&lt;TODAY()),TODAY()-F983,"")</f>
        <v/>
      </c>
      <c r="I983" s="16"/>
    </row>
    <row r="984" customFormat="false" ht="15" hidden="false" customHeight="false" outlineLevel="0" collapsed="false">
      <c r="A984" s="15"/>
      <c r="B984" s="16"/>
      <c r="C984" s="13" t="str">
        <f aca="false">IFERROR(IF(B984="","",VLOOKUP(B984,Inventory!A:B,2,FALSE())),"")</f>
        <v/>
      </c>
      <c r="D984" s="16"/>
      <c r="E984" s="16"/>
      <c r="F984" s="15"/>
      <c r="G984" s="15"/>
      <c r="H984" s="17" t="str">
        <f aca="true">IF(AND(A984&lt;&gt;"",G984="",F984&lt;&gt;"",F984&lt;TODAY()),TODAY()-F984,"")</f>
        <v/>
      </c>
      <c r="I984" s="16"/>
    </row>
    <row r="985" customFormat="false" ht="15" hidden="false" customHeight="false" outlineLevel="0" collapsed="false">
      <c r="A985" s="15"/>
      <c r="B985" s="16"/>
      <c r="C985" s="13" t="str">
        <f aca="false">IFERROR(IF(B985="","",VLOOKUP(B985,Inventory!A:B,2,FALSE())),"")</f>
        <v/>
      </c>
      <c r="D985" s="16"/>
      <c r="E985" s="16"/>
      <c r="F985" s="15"/>
      <c r="G985" s="15"/>
      <c r="H985" s="17" t="str">
        <f aca="true">IF(AND(A985&lt;&gt;"",G985="",F985&lt;&gt;"",F985&lt;TODAY()),TODAY()-F985,"")</f>
        <v/>
      </c>
      <c r="I985" s="16"/>
    </row>
    <row r="986" customFormat="false" ht="15" hidden="false" customHeight="false" outlineLevel="0" collapsed="false">
      <c r="A986" s="15"/>
      <c r="B986" s="16"/>
      <c r="C986" s="13" t="str">
        <f aca="false">IFERROR(IF(B986="","",VLOOKUP(B986,Inventory!A:B,2,FALSE())),"")</f>
        <v/>
      </c>
      <c r="D986" s="16"/>
      <c r="E986" s="16"/>
      <c r="F986" s="15"/>
      <c r="G986" s="15"/>
      <c r="H986" s="17" t="str">
        <f aca="true">IF(AND(A986&lt;&gt;"",G986="",F986&lt;&gt;"",F986&lt;TODAY()),TODAY()-F986,"")</f>
        <v/>
      </c>
      <c r="I986" s="16"/>
    </row>
    <row r="987" customFormat="false" ht="15" hidden="false" customHeight="false" outlineLevel="0" collapsed="false">
      <c r="A987" s="15"/>
      <c r="B987" s="16"/>
      <c r="C987" s="13" t="str">
        <f aca="false">IFERROR(IF(B987="","",VLOOKUP(B987,Inventory!A:B,2,FALSE())),"")</f>
        <v/>
      </c>
      <c r="D987" s="16"/>
      <c r="E987" s="16"/>
      <c r="F987" s="15"/>
      <c r="G987" s="15"/>
      <c r="H987" s="17" t="str">
        <f aca="true">IF(AND(A987&lt;&gt;"",G987="",F987&lt;&gt;"",F987&lt;TODAY()),TODAY()-F987,"")</f>
        <v/>
      </c>
      <c r="I987" s="16"/>
    </row>
    <row r="988" customFormat="false" ht="15" hidden="false" customHeight="false" outlineLevel="0" collapsed="false">
      <c r="A988" s="15"/>
      <c r="B988" s="16"/>
      <c r="C988" s="13" t="str">
        <f aca="false">IFERROR(IF(B988="","",VLOOKUP(B988,Inventory!A:B,2,FALSE())),"")</f>
        <v/>
      </c>
      <c r="D988" s="16"/>
      <c r="E988" s="16"/>
      <c r="F988" s="15"/>
      <c r="G988" s="15"/>
      <c r="H988" s="17" t="str">
        <f aca="true">IF(AND(A988&lt;&gt;"",G988="",F988&lt;&gt;"",F988&lt;TODAY()),TODAY()-F988,"")</f>
        <v/>
      </c>
      <c r="I988" s="16"/>
    </row>
    <row r="989" customFormat="false" ht="15" hidden="false" customHeight="false" outlineLevel="0" collapsed="false">
      <c r="A989" s="15"/>
      <c r="B989" s="16"/>
      <c r="C989" s="13" t="str">
        <f aca="false">IFERROR(IF(B989="","",VLOOKUP(B989,Inventory!A:B,2,FALSE())),"")</f>
        <v/>
      </c>
      <c r="D989" s="16"/>
      <c r="E989" s="16"/>
      <c r="F989" s="15"/>
      <c r="G989" s="15"/>
      <c r="H989" s="17" t="str">
        <f aca="true">IF(AND(A989&lt;&gt;"",G989="",F989&lt;&gt;"",F989&lt;TODAY()),TODAY()-F989,"")</f>
        <v/>
      </c>
      <c r="I989" s="16"/>
    </row>
    <row r="990" customFormat="false" ht="15" hidden="false" customHeight="false" outlineLevel="0" collapsed="false">
      <c r="A990" s="15"/>
      <c r="B990" s="16"/>
      <c r="C990" s="13" t="str">
        <f aca="false">IFERROR(IF(B990="","",VLOOKUP(B990,Inventory!A:B,2,FALSE())),"")</f>
        <v/>
      </c>
      <c r="D990" s="16"/>
      <c r="E990" s="16"/>
      <c r="F990" s="15"/>
      <c r="G990" s="15"/>
      <c r="H990" s="17" t="str">
        <f aca="true">IF(AND(A990&lt;&gt;"",G990="",F990&lt;&gt;"",F990&lt;TODAY()),TODAY()-F990,"")</f>
        <v/>
      </c>
      <c r="I990" s="16"/>
    </row>
    <row r="991" customFormat="false" ht="15" hidden="false" customHeight="false" outlineLevel="0" collapsed="false">
      <c r="A991" s="15"/>
      <c r="B991" s="16"/>
      <c r="C991" s="13" t="str">
        <f aca="false">IFERROR(IF(B991="","",VLOOKUP(B991,Inventory!A:B,2,FALSE())),"")</f>
        <v/>
      </c>
      <c r="D991" s="16"/>
      <c r="E991" s="16"/>
      <c r="F991" s="15"/>
      <c r="G991" s="15"/>
      <c r="H991" s="17" t="str">
        <f aca="true">IF(AND(A991&lt;&gt;"",G991="",F991&lt;&gt;"",F991&lt;TODAY()),TODAY()-F991,"")</f>
        <v/>
      </c>
      <c r="I991" s="16"/>
    </row>
    <row r="992" customFormat="false" ht="15" hidden="false" customHeight="false" outlineLevel="0" collapsed="false">
      <c r="A992" s="15"/>
      <c r="B992" s="16"/>
      <c r="C992" s="13" t="str">
        <f aca="false">IFERROR(IF(B992="","",VLOOKUP(B992,Inventory!A:B,2,FALSE())),"")</f>
        <v/>
      </c>
      <c r="D992" s="16"/>
      <c r="E992" s="16"/>
      <c r="F992" s="15"/>
      <c r="G992" s="15"/>
      <c r="H992" s="17" t="str">
        <f aca="true">IF(AND(A992&lt;&gt;"",G992="",F992&lt;&gt;"",F992&lt;TODAY()),TODAY()-F992,"")</f>
        <v/>
      </c>
      <c r="I992" s="16"/>
    </row>
    <row r="993" customFormat="false" ht="15" hidden="false" customHeight="false" outlineLevel="0" collapsed="false">
      <c r="A993" s="15"/>
      <c r="B993" s="16"/>
      <c r="C993" s="13" t="str">
        <f aca="false">IFERROR(IF(B993="","",VLOOKUP(B993,Inventory!A:B,2,FALSE())),"")</f>
        <v/>
      </c>
      <c r="D993" s="16"/>
      <c r="E993" s="16"/>
      <c r="F993" s="15"/>
      <c r="G993" s="15"/>
      <c r="H993" s="17" t="str">
        <f aca="true">IF(AND(A993&lt;&gt;"",G993="",F993&lt;&gt;"",F993&lt;TODAY()),TODAY()-F993,"")</f>
        <v/>
      </c>
      <c r="I993" s="16"/>
    </row>
    <row r="994" customFormat="false" ht="15" hidden="false" customHeight="false" outlineLevel="0" collapsed="false">
      <c r="A994" s="15"/>
      <c r="B994" s="16"/>
      <c r="C994" s="13" t="str">
        <f aca="false">IFERROR(IF(B994="","",VLOOKUP(B994,Inventory!A:B,2,FALSE())),"")</f>
        <v/>
      </c>
      <c r="D994" s="16"/>
      <c r="E994" s="16"/>
      <c r="F994" s="15"/>
      <c r="G994" s="15"/>
      <c r="H994" s="17" t="str">
        <f aca="true">IF(AND(A994&lt;&gt;"",G994="",F994&lt;&gt;"",F994&lt;TODAY()),TODAY()-F994,"")</f>
        <v/>
      </c>
      <c r="I994" s="16"/>
    </row>
    <row r="995" customFormat="false" ht="15" hidden="false" customHeight="false" outlineLevel="0" collapsed="false">
      <c r="A995" s="15"/>
      <c r="B995" s="16"/>
      <c r="C995" s="13" t="str">
        <f aca="false">IFERROR(IF(B995="","",VLOOKUP(B995,Inventory!A:B,2,FALSE())),"")</f>
        <v/>
      </c>
      <c r="D995" s="16"/>
      <c r="E995" s="16"/>
      <c r="F995" s="15"/>
      <c r="G995" s="15"/>
      <c r="H995" s="17" t="str">
        <f aca="true">IF(AND(A995&lt;&gt;"",G995="",F995&lt;&gt;"",F995&lt;TODAY()),TODAY()-F995,"")</f>
        <v/>
      </c>
      <c r="I995" s="16"/>
    </row>
    <row r="996" customFormat="false" ht="15" hidden="false" customHeight="false" outlineLevel="0" collapsed="false">
      <c r="A996" s="15"/>
      <c r="B996" s="16"/>
      <c r="C996" s="13" t="str">
        <f aca="false">IFERROR(IF(B996="","",VLOOKUP(B996,Inventory!A:B,2,FALSE())),"")</f>
        <v/>
      </c>
      <c r="D996" s="16"/>
      <c r="E996" s="16"/>
      <c r="F996" s="15"/>
      <c r="G996" s="15"/>
      <c r="H996" s="17" t="str">
        <f aca="true">IF(AND(A996&lt;&gt;"",G996="",F996&lt;&gt;"",F996&lt;TODAY()),TODAY()-F996,"")</f>
        <v/>
      </c>
      <c r="I996" s="16"/>
    </row>
    <row r="997" customFormat="false" ht="15" hidden="false" customHeight="false" outlineLevel="0" collapsed="false">
      <c r="A997" s="15"/>
      <c r="B997" s="16"/>
      <c r="C997" s="13" t="str">
        <f aca="false">IFERROR(IF(B997="","",VLOOKUP(B997,Inventory!A:B,2,FALSE())),"")</f>
        <v/>
      </c>
      <c r="D997" s="16"/>
      <c r="E997" s="16"/>
      <c r="F997" s="15"/>
      <c r="G997" s="15"/>
      <c r="H997" s="17" t="str">
        <f aca="true">IF(AND(A997&lt;&gt;"",G997="",F997&lt;&gt;"",F997&lt;TODAY()),TODAY()-F997,"")</f>
        <v/>
      </c>
      <c r="I997" s="16"/>
    </row>
    <row r="998" customFormat="false" ht="15" hidden="false" customHeight="false" outlineLevel="0" collapsed="false">
      <c r="A998" s="15"/>
      <c r="B998" s="16"/>
      <c r="C998" s="13" t="str">
        <f aca="false">IFERROR(IF(B998="","",VLOOKUP(B998,Inventory!A:B,2,FALSE())),"")</f>
        <v/>
      </c>
      <c r="D998" s="16"/>
      <c r="E998" s="16"/>
      <c r="F998" s="15"/>
      <c r="G998" s="15"/>
      <c r="H998" s="17" t="str">
        <f aca="true">IF(AND(A998&lt;&gt;"",G998="",F998&lt;&gt;"",F998&lt;TODAY()),TODAY()-F998,"")</f>
        <v/>
      </c>
      <c r="I998" s="16"/>
    </row>
    <row r="999" customFormat="false" ht="15" hidden="false" customHeight="false" outlineLevel="0" collapsed="false">
      <c r="A999" s="15"/>
      <c r="B999" s="16"/>
      <c r="C999" s="13" t="str">
        <f aca="false">IFERROR(IF(B999="","",VLOOKUP(B999,Inventory!A:B,2,FALSE())),"")</f>
        <v/>
      </c>
      <c r="D999" s="16"/>
      <c r="E999" s="16"/>
      <c r="F999" s="15"/>
      <c r="G999" s="15"/>
      <c r="H999" s="17" t="str">
        <f aca="true">IF(AND(A999&lt;&gt;"",G999="",F999&lt;&gt;"",F999&lt;TODAY()),TODAY()-F999,"")</f>
        <v/>
      </c>
      <c r="I999" s="16"/>
    </row>
    <row r="1000" customFormat="false" ht="15" hidden="false" customHeight="false" outlineLevel="0" collapsed="false">
      <c r="A1000" s="15"/>
      <c r="B1000" s="16"/>
      <c r="C1000" s="13" t="str">
        <f aca="false">IFERROR(IF(B1000="","",VLOOKUP(B1000,Inventory!A:B,2,FALSE())),"")</f>
        <v/>
      </c>
      <c r="D1000" s="16"/>
      <c r="E1000" s="16"/>
      <c r="F1000" s="15"/>
      <c r="G1000" s="15"/>
      <c r="H1000" s="17" t="str">
        <f aca="true">IF(AND(A1000&lt;&gt;"",G1000="",F1000&lt;&gt;"",F1000&lt;TODAY()),TODAY()-F1000,"")</f>
        <v/>
      </c>
      <c r="I1000" s="16"/>
    </row>
    <row r="1001" customFormat="false" ht="15" hidden="false" customHeight="false" outlineLevel="0" collapsed="false">
      <c r="A1001" s="15"/>
      <c r="B1001" s="16"/>
      <c r="C1001" s="13" t="str">
        <f aca="false">IFERROR(IF(B1001="","",VLOOKUP(B1001,Inventory!A:B,2,FALSE())),"")</f>
        <v/>
      </c>
      <c r="D1001" s="16"/>
      <c r="E1001" s="16"/>
      <c r="F1001" s="15"/>
      <c r="G1001" s="15"/>
      <c r="H1001" s="17" t="str">
        <f aca="true">IF(AND(A1001&lt;&gt;"",G1001="",F1001&lt;&gt;"",F1001&lt;TODAY()),TODAY()-F1001,"")</f>
        <v/>
      </c>
      <c r="I1001" s="16"/>
    </row>
    <row r="1002" customFormat="false" ht="15" hidden="false" customHeight="false" outlineLevel="0" collapsed="false">
      <c r="A1002" s="15"/>
      <c r="B1002" s="16"/>
      <c r="C1002" s="13" t="str">
        <f aca="false">IFERROR(IF(B1002="","",VLOOKUP(B1002,Inventory!A:B,2,FALSE())),"")</f>
        <v/>
      </c>
      <c r="D1002" s="16"/>
      <c r="E1002" s="16"/>
      <c r="F1002" s="15"/>
      <c r="G1002" s="15"/>
      <c r="H1002" s="17" t="str">
        <f aca="true">IF(AND(A1002&lt;&gt;"",G1002="",F1002&lt;&gt;"",F1002&lt;TODAY()),TODAY()-F1002,"")</f>
        <v/>
      </c>
      <c r="I1002" s="16"/>
    </row>
    <row r="1003" customFormat="false" ht="15" hidden="false" customHeight="false" outlineLevel="0" collapsed="false">
      <c r="A1003" s="15"/>
      <c r="B1003" s="16"/>
      <c r="C1003" s="13" t="str">
        <f aca="false">IFERROR(IF(B1003="","",VLOOKUP(B1003,Inventory!A:B,2,FALSE())),"")</f>
        <v/>
      </c>
      <c r="D1003" s="16"/>
      <c r="E1003" s="16"/>
      <c r="F1003" s="15"/>
      <c r="G1003" s="15"/>
      <c r="H1003" s="17" t="str">
        <f aca="true">IF(AND(A1003&lt;&gt;"",G1003="",F1003&lt;&gt;"",F1003&lt;TODAY()),TODAY()-F1003,"")</f>
        <v/>
      </c>
      <c r="I1003" s="16"/>
    </row>
  </sheetData>
  <mergeCells count="3">
    <mergeCell ref="A1:D1"/>
    <mergeCell ref="E1:F1"/>
    <mergeCell ref="A2:I2"/>
  </mergeCells>
  <conditionalFormatting sqref="A4:I1003">
    <cfRule type="expression" priority="2" aboveAverage="0" equalAverage="0" bottom="0" percent="0" rank="0" text="" dxfId="0">
      <formula>AND($A4&lt;&gt;"",$G4&lt;&gt;"")</formula>
    </cfRule>
    <cfRule type="expression" priority="3" aboveAverage="0" equalAverage="0" bottom="0" percent="0" rank="0" text="" dxfId="2">
      <formula>AND($A4&lt;&gt;"",$G4="",$F4&lt;&gt;"",$F4&lt;TODAY())</formula>
    </cfRule>
  </conditionalFormatting>
  <dataValidations count="1">
    <dataValidation allowBlank="true" errorStyle="stop" operator="between" showDropDown="false" showErrorMessage="false" showInputMessage="false" sqref="E4:E1003" type="list">
      <formula1>Teams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7" min="3" style="0" width="14"/>
  </cols>
  <sheetData>
    <row r="2" customFormat="false" ht="24.45" hidden="false" customHeight="false" outlineLevel="0" collapsed="false">
      <c r="B2" s="1" t="s">
        <v>72</v>
      </c>
    </row>
    <row r="3" customFormat="false" ht="15" hidden="false" customHeight="false" outlineLevel="0" collapsed="false">
      <c r="B3" s="18" t="str">
        <f aca="true">"Generated " &amp; TEXT(TODAY(), "DD MMMM YYYY")</f>
        <v>Generated 23 May 2026</v>
      </c>
    </row>
    <row r="5" customFormat="false" ht="15" hidden="false" customHeight="false" outlineLevel="0" collapsed="false">
      <c r="B5" s="19" t="s">
        <v>73</v>
      </c>
      <c r="C5" s="19"/>
      <c r="D5" s="19"/>
      <c r="E5" s="19"/>
      <c r="F5" s="19"/>
      <c r="G5" s="19"/>
    </row>
    <row r="6" customFormat="false" ht="15" hidden="false" customHeight="false" outlineLevel="0" collapsed="false">
      <c r="B6" s="2" t="s">
        <v>74</v>
      </c>
      <c r="D6" s="2" t="s">
        <v>75</v>
      </c>
      <c r="E6" s="2" t="s">
        <v>76</v>
      </c>
      <c r="F6" s="2" t="s">
        <v>77</v>
      </c>
      <c r="G6" s="2" t="s">
        <v>78</v>
      </c>
    </row>
    <row r="7" customFormat="false" ht="31.5" hidden="false" customHeight="true" outlineLevel="0" collapsed="false">
      <c r="B7" s="20" t="n">
        <f aca="false">COUNTA(Inventory!B4:B1003)</f>
        <v>4</v>
      </c>
      <c r="D7" s="21" t="n">
        <f aca="false">COUNTIF(Inventory!G4:G1003,"In storage")</f>
        <v>3</v>
      </c>
      <c r="E7" s="22" t="n">
        <f aca="false">COUNTIF(Inventory!G4:G1003,"Out with coach")</f>
        <v>1</v>
      </c>
      <c r="F7" s="23" t="n">
        <f aca="false">COUNTIF(Inventory!G4:G1003,"Lost")</f>
        <v>0</v>
      </c>
      <c r="G7" s="23" t="n">
        <f aca="false">COUNTIF(Inventory!F4:F1003,"1 - Needs replacing")+COUNTIF(Inventory!F4:F1003,"2 - Damaged")</f>
        <v>0</v>
      </c>
    </row>
    <row r="9" customFormat="false" ht="15" hidden="false" customHeight="false" outlineLevel="0" collapsed="false">
      <c r="B9" s="19" t="s">
        <v>79</v>
      </c>
      <c r="C9" s="19"/>
      <c r="D9" s="19"/>
      <c r="E9" s="19"/>
      <c r="F9" s="19"/>
      <c r="G9" s="19"/>
    </row>
    <row r="10" customFormat="false" ht="21.75" hidden="false" customHeight="true" outlineLevel="0" collapsed="false">
      <c r="B10" s="11" t="s">
        <v>27</v>
      </c>
      <c r="C10" s="11" t="s">
        <v>80</v>
      </c>
      <c r="D10" s="11" t="s">
        <v>40</v>
      </c>
      <c r="E10" s="11" t="s">
        <v>81</v>
      </c>
      <c r="F10" s="11" t="s">
        <v>82</v>
      </c>
      <c r="G10" s="11" t="s">
        <v>78</v>
      </c>
    </row>
    <row r="11" customFormat="false" ht="15" hidden="false" customHeight="false" outlineLevel="0" collapsed="false">
      <c r="B11" s="24" t="s">
        <v>36</v>
      </c>
      <c r="C11" s="25" t="n">
        <f aca="false">COUNTIF(Inventory!C4:C1003,B11)</f>
        <v>1</v>
      </c>
      <c r="D11" s="25" t="n">
        <f aca="false">COUNTIFS(Inventory!C4:C1003,B11,Inventory!G4:G1003,"In storage")</f>
        <v>1</v>
      </c>
      <c r="E11" s="25" t="n">
        <f aca="false">COUNTIFS(Inventory!C4:C1003,B11,Inventory!G4:G1003,"Out with coach")</f>
        <v>0</v>
      </c>
      <c r="F11" s="25" t="n">
        <f aca="false">COUNTIFS(Inventory!C4:C1003,B11,Inventory!G4:G1003,"Lost")</f>
        <v>0</v>
      </c>
      <c r="G11" s="25" t="n">
        <f aca="false">COUNTIFS(Inventory!C4:C1003,B11,Inventory!F4:F1003,"1 - Needs replacing")+COUNTIFS(Inventory!C4:C1003,B11,Inventory!F4:F1003,"2 - Damaged")</f>
        <v>0</v>
      </c>
    </row>
    <row r="12" customFormat="false" ht="15" hidden="false" customHeight="false" outlineLevel="0" collapsed="false">
      <c r="B12" s="24" t="s">
        <v>83</v>
      </c>
      <c r="C12" s="25" t="n">
        <f aca="false">COUNTIF(Inventory!C4:C1003,B12)</f>
        <v>0</v>
      </c>
      <c r="D12" s="25" t="n">
        <f aca="false">COUNTIFS(Inventory!C4:C1003,B12,Inventory!G4:G1003,"In storage")</f>
        <v>0</v>
      </c>
      <c r="E12" s="25" t="n">
        <f aca="false">COUNTIFS(Inventory!C4:C1003,B12,Inventory!G4:G1003,"Out with coach")</f>
        <v>0</v>
      </c>
      <c r="F12" s="25" t="n">
        <f aca="false">COUNTIFS(Inventory!C4:C1003,B12,Inventory!G4:G1003,"Lost")</f>
        <v>0</v>
      </c>
      <c r="G12" s="25" t="n">
        <f aca="false">COUNTIFS(Inventory!C4:C1003,B12,Inventory!F4:F1003,"1 - Needs replacing")+COUNTIFS(Inventory!C4:C1003,B12,Inventory!F4:F1003,"2 - Damaged")</f>
        <v>0</v>
      </c>
    </row>
    <row r="13" customFormat="false" ht="15" hidden="false" customHeight="false" outlineLevel="0" collapsed="false">
      <c r="B13" s="24" t="s">
        <v>43</v>
      </c>
      <c r="C13" s="25" t="n">
        <f aca="false">COUNTIF(Inventory!C4:C1003,B13)</f>
        <v>1</v>
      </c>
      <c r="D13" s="25" t="n">
        <f aca="false">COUNTIFS(Inventory!C4:C1003,B13,Inventory!G4:G1003,"In storage")</f>
        <v>1</v>
      </c>
      <c r="E13" s="25" t="n">
        <f aca="false">COUNTIFS(Inventory!C4:C1003,B13,Inventory!G4:G1003,"Out with coach")</f>
        <v>0</v>
      </c>
      <c r="F13" s="25" t="n">
        <f aca="false">COUNTIFS(Inventory!C4:C1003,B13,Inventory!G4:G1003,"Lost")</f>
        <v>0</v>
      </c>
      <c r="G13" s="25" t="n">
        <f aca="false">COUNTIFS(Inventory!C4:C1003,B13,Inventory!F4:F1003,"1 - Needs replacing")+COUNTIFS(Inventory!C4:C1003,B13,Inventory!F4:F1003,"2 - Damaged")</f>
        <v>0</v>
      </c>
    </row>
    <row r="14" customFormat="false" ht="15" hidden="false" customHeight="false" outlineLevel="0" collapsed="false">
      <c r="B14" s="24" t="s">
        <v>48</v>
      </c>
      <c r="C14" s="25" t="n">
        <f aca="false">COUNTIF(Inventory!C4:C1003,B14)</f>
        <v>1</v>
      </c>
      <c r="D14" s="25" t="n">
        <f aca="false">COUNTIFS(Inventory!C4:C1003,B14,Inventory!G4:G1003,"In storage")</f>
        <v>0</v>
      </c>
      <c r="E14" s="25" t="n">
        <f aca="false">COUNTIFS(Inventory!C4:C1003,B14,Inventory!G4:G1003,"Out with coach")</f>
        <v>1</v>
      </c>
      <c r="F14" s="25" t="n">
        <f aca="false">COUNTIFS(Inventory!C4:C1003,B14,Inventory!G4:G1003,"Lost")</f>
        <v>0</v>
      </c>
      <c r="G14" s="25" t="n">
        <f aca="false">COUNTIFS(Inventory!C4:C1003,B14,Inventory!F4:F1003,"1 - Needs replacing")+COUNTIFS(Inventory!C4:C1003,B14,Inventory!F4:F1003,"2 - Damaged")</f>
        <v>0</v>
      </c>
    </row>
    <row r="15" customFormat="false" ht="15" hidden="false" customHeight="false" outlineLevel="0" collapsed="false">
      <c r="B15" s="24" t="s">
        <v>84</v>
      </c>
      <c r="C15" s="25" t="n">
        <f aca="false">COUNTIF(Inventory!C4:C1003,B15)</f>
        <v>0</v>
      </c>
      <c r="D15" s="25" t="n">
        <f aca="false">COUNTIFS(Inventory!C4:C1003,B15,Inventory!G4:G1003,"In storage")</f>
        <v>0</v>
      </c>
      <c r="E15" s="25" t="n">
        <f aca="false">COUNTIFS(Inventory!C4:C1003,B15,Inventory!G4:G1003,"Out with coach")</f>
        <v>0</v>
      </c>
      <c r="F15" s="25" t="n">
        <f aca="false">COUNTIFS(Inventory!C4:C1003,B15,Inventory!G4:G1003,"Lost")</f>
        <v>0</v>
      </c>
      <c r="G15" s="25" t="n">
        <f aca="false">COUNTIFS(Inventory!C4:C1003,B15,Inventory!F4:F1003,"1 - Needs replacing")+COUNTIFS(Inventory!C4:C1003,B15,Inventory!F4:F1003,"2 - Damaged")</f>
        <v>0</v>
      </c>
    </row>
    <row r="16" customFormat="false" ht="15" hidden="false" customHeight="false" outlineLevel="0" collapsed="false">
      <c r="B16" s="24" t="s">
        <v>85</v>
      </c>
      <c r="C16" s="25" t="n">
        <f aca="false">COUNTIF(Inventory!C4:C1003,B16)</f>
        <v>0</v>
      </c>
      <c r="D16" s="25" t="n">
        <f aca="false">COUNTIFS(Inventory!C4:C1003,B16,Inventory!G4:G1003,"In storage")</f>
        <v>0</v>
      </c>
      <c r="E16" s="25" t="n">
        <f aca="false">COUNTIFS(Inventory!C4:C1003,B16,Inventory!G4:G1003,"Out with coach")</f>
        <v>0</v>
      </c>
      <c r="F16" s="25" t="n">
        <f aca="false">COUNTIFS(Inventory!C4:C1003,B16,Inventory!G4:G1003,"Lost")</f>
        <v>0</v>
      </c>
      <c r="G16" s="25" t="n">
        <f aca="false">COUNTIFS(Inventory!C4:C1003,B16,Inventory!F4:F1003,"1 - Needs replacing")+COUNTIFS(Inventory!C4:C1003,B16,Inventory!F4:F1003,"2 - Damaged")</f>
        <v>0</v>
      </c>
    </row>
    <row r="17" customFormat="false" ht="15" hidden="false" customHeight="false" outlineLevel="0" collapsed="false">
      <c r="B17" s="24" t="s">
        <v>86</v>
      </c>
      <c r="C17" s="25" t="n">
        <f aca="false">COUNTIF(Inventory!C4:C1003,B17)</f>
        <v>0</v>
      </c>
      <c r="D17" s="25" t="n">
        <f aca="false">COUNTIFS(Inventory!C4:C1003,B17,Inventory!G4:G1003,"In storage")</f>
        <v>0</v>
      </c>
      <c r="E17" s="25" t="n">
        <f aca="false">COUNTIFS(Inventory!C4:C1003,B17,Inventory!G4:G1003,"Out with coach")</f>
        <v>0</v>
      </c>
      <c r="F17" s="25" t="n">
        <f aca="false">COUNTIFS(Inventory!C4:C1003,B17,Inventory!G4:G1003,"Lost")</f>
        <v>0</v>
      </c>
      <c r="G17" s="25" t="n">
        <f aca="false">COUNTIFS(Inventory!C4:C1003,B17,Inventory!F4:F1003,"1 - Needs replacing")+COUNTIFS(Inventory!C4:C1003,B17,Inventory!F4:F1003,"2 - Damaged")</f>
        <v>0</v>
      </c>
    </row>
    <row r="18" customFormat="false" ht="15" hidden="false" customHeight="false" outlineLevel="0" collapsed="false">
      <c r="B18" s="24" t="s">
        <v>87</v>
      </c>
      <c r="C18" s="25" t="n">
        <f aca="false">COUNTIF(Inventory!C4:C1003,B18)</f>
        <v>0</v>
      </c>
      <c r="D18" s="25" t="n">
        <f aca="false">COUNTIFS(Inventory!C4:C1003,B18,Inventory!G4:G1003,"In storage")</f>
        <v>0</v>
      </c>
      <c r="E18" s="25" t="n">
        <f aca="false">COUNTIFS(Inventory!C4:C1003,B18,Inventory!G4:G1003,"Out with coach")</f>
        <v>0</v>
      </c>
      <c r="F18" s="25" t="n">
        <f aca="false">COUNTIFS(Inventory!C4:C1003,B18,Inventory!G4:G1003,"Lost")</f>
        <v>0</v>
      </c>
      <c r="G18" s="25" t="n">
        <f aca="false">COUNTIFS(Inventory!C4:C1003,B18,Inventory!F4:F1003,"1 - Needs replacing")+COUNTIFS(Inventory!C4:C1003,B18,Inventory!F4:F1003,"2 - Damaged")</f>
        <v>0</v>
      </c>
    </row>
    <row r="19" customFormat="false" ht="15" hidden="false" customHeight="false" outlineLevel="0" collapsed="false">
      <c r="B19" s="24" t="s">
        <v>88</v>
      </c>
      <c r="C19" s="25" t="n">
        <f aca="false">COUNTIF(Inventory!C4:C1003,B19)</f>
        <v>0</v>
      </c>
      <c r="D19" s="25" t="n">
        <f aca="false">COUNTIFS(Inventory!C4:C1003,B19,Inventory!G4:G1003,"In storage")</f>
        <v>0</v>
      </c>
      <c r="E19" s="25" t="n">
        <f aca="false">COUNTIFS(Inventory!C4:C1003,B19,Inventory!G4:G1003,"Out with coach")</f>
        <v>0</v>
      </c>
      <c r="F19" s="25" t="n">
        <f aca="false">COUNTIFS(Inventory!C4:C1003,B19,Inventory!G4:G1003,"Lost")</f>
        <v>0</v>
      </c>
      <c r="G19" s="25" t="n">
        <f aca="false">COUNTIFS(Inventory!C4:C1003,B19,Inventory!F4:F1003,"1 - Needs replacing")+COUNTIFS(Inventory!C4:C1003,B19,Inventory!F4:F1003,"2 - Damaged")</f>
        <v>0</v>
      </c>
    </row>
    <row r="20" customFormat="false" ht="15" hidden="false" customHeight="false" outlineLevel="0" collapsed="false">
      <c r="B20" s="24" t="s">
        <v>89</v>
      </c>
      <c r="C20" s="25" t="n">
        <f aca="false">COUNTIF(Inventory!C4:C1003,B20)</f>
        <v>0</v>
      </c>
      <c r="D20" s="25" t="n">
        <f aca="false">COUNTIFS(Inventory!C4:C1003,B20,Inventory!G4:G1003,"In storage")</f>
        <v>0</v>
      </c>
      <c r="E20" s="25" t="n">
        <f aca="false">COUNTIFS(Inventory!C4:C1003,B20,Inventory!G4:G1003,"Out with coach")</f>
        <v>0</v>
      </c>
      <c r="F20" s="25" t="n">
        <f aca="false">COUNTIFS(Inventory!C4:C1003,B20,Inventory!G4:G1003,"Lost")</f>
        <v>0</v>
      </c>
      <c r="G20" s="25" t="n">
        <f aca="false">COUNTIFS(Inventory!C4:C1003,B20,Inventory!F4:F1003,"1 - Needs replacing")+COUNTIFS(Inventory!C4:C1003,B20,Inventory!F4:F1003,"2 - Damaged")</f>
        <v>0</v>
      </c>
    </row>
    <row r="21" customFormat="false" ht="15" hidden="false" customHeight="false" outlineLevel="0" collapsed="false">
      <c r="B21" s="24" t="s">
        <v>54</v>
      </c>
      <c r="C21" s="25" t="n">
        <f aca="false">COUNTIF(Inventory!C4:C1003,B21)</f>
        <v>1</v>
      </c>
      <c r="D21" s="25" t="n">
        <f aca="false">COUNTIFS(Inventory!C4:C1003,B21,Inventory!G4:G1003,"In storage")</f>
        <v>1</v>
      </c>
      <c r="E21" s="25" t="n">
        <f aca="false">COUNTIFS(Inventory!C4:C1003,B21,Inventory!G4:G1003,"Out with coach")</f>
        <v>0</v>
      </c>
      <c r="F21" s="25" t="n">
        <f aca="false">COUNTIFS(Inventory!C4:C1003,B21,Inventory!G4:G1003,"Lost")</f>
        <v>0</v>
      </c>
      <c r="G21" s="25" t="n">
        <f aca="false">COUNTIFS(Inventory!C4:C1003,B21,Inventory!F4:F1003,"1 - Needs replacing")+COUNTIFS(Inventory!C4:C1003,B21,Inventory!F4:F1003,"2 - Damaged")</f>
        <v>0</v>
      </c>
    </row>
    <row r="22" customFormat="false" ht="15" hidden="false" customHeight="false" outlineLevel="0" collapsed="false">
      <c r="B22" s="24" t="s">
        <v>90</v>
      </c>
      <c r="C22" s="25" t="n">
        <f aca="false">COUNTIF(Inventory!C4:C1003,B22)</f>
        <v>0</v>
      </c>
      <c r="D22" s="25" t="n">
        <f aca="false">COUNTIFS(Inventory!C4:C1003,B22,Inventory!G4:G1003,"In storage")</f>
        <v>0</v>
      </c>
      <c r="E22" s="25" t="n">
        <f aca="false">COUNTIFS(Inventory!C4:C1003,B22,Inventory!G4:G1003,"Out with coach")</f>
        <v>0</v>
      </c>
      <c r="F22" s="25" t="n">
        <f aca="false">COUNTIFS(Inventory!C4:C1003,B22,Inventory!G4:G1003,"Lost")</f>
        <v>0</v>
      </c>
      <c r="G22" s="25" t="n">
        <f aca="false">COUNTIFS(Inventory!C4:C1003,B22,Inventory!F4:F1003,"1 - Needs replacing")+COUNTIFS(Inventory!C4:C1003,B22,Inventory!F4:F1003,"2 - Damaged")</f>
        <v>0</v>
      </c>
    </row>
    <row r="23" customFormat="false" ht="15" hidden="false" customHeight="false" outlineLevel="0" collapsed="false">
      <c r="B23" s="24" t="s">
        <v>91</v>
      </c>
      <c r="C23" s="25" t="n">
        <f aca="false">COUNTIF(Inventory!C4:C1003,B23)</f>
        <v>0</v>
      </c>
      <c r="D23" s="25" t="n">
        <f aca="false">COUNTIFS(Inventory!C4:C1003,B23,Inventory!G4:G1003,"In storage")</f>
        <v>0</v>
      </c>
      <c r="E23" s="25" t="n">
        <f aca="false">COUNTIFS(Inventory!C4:C1003,B23,Inventory!G4:G1003,"Out with coach")</f>
        <v>0</v>
      </c>
      <c r="F23" s="25" t="n">
        <f aca="false">COUNTIFS(Inventory!C4:C1003,B23,Inventory!G4:G1003,"Lost")</f>
        <v>0</v>
      </c>
      <c r="G23" s="25" t="n">
        <f aca="false">COUNTIFS(Inventory!C4:C1003,B23,Inventory!F4:F1003,"1 - Needs replacing")+COUNTIFS(Inventory!C4:C1003,B23,Inventory!F4:F1003,"2 - Damaged")</f>
        <v>0</v>
      </c>
    </row>
    <row r="24" customFormat="false" ht="15" hidden="false" customHeight="false" outlineLevel="0" collapsed="false">
      <c r="B24" s="24" t="s">
        <v>92</v>
      </c>
      <c r="C24" s="25" t="n">
        <f aca="false">COUNTIF(Inventory!C4:C1003,B24)</f>
        <v>0</v>
      </c>
      <c r="D24" s="25" t="n">
        <f aca="false">COUNTIFS(Inventory!C4:C1003,B24,Inventory!G4:G1003,"In storage")</f>
        <v>0</v>
      </c>
      <c r="E24" s="25" t="n">
        <f aca="false">COUNTIFS(Inventory!C4:C1003,B24,Inventory!G4:G1003,"Out with coach")</f>
        <v>0</v>
      </c>
      <c r="F24" s="25" t="n">
        <f aca="false">COUNTIFS(Inventory!C4:C1003,B24,Inventory!G4:G1003,"Lost")</f>
        <v>0</v>
      </c>
      <c r="G24" s="25" t="n">
        <f aca="false">COUNTIFS(Inventory!C4:C1003,B24,Inventory!F4:F1003,"1 - Needs replacing")+COUNTIFS(Inventory!C4:C1003,B24,Inventory!F4:F1003,"2 - Damaged")</f>
        <v>0</v>
      </c>
    </row>
    <row r="25" customFormat="false" ht="15" hidden="false" customHeight="false" outlineLevel="0" collapsed="false">
      <c r="B25" s="24" t="s">
        <v>93</v>
      </c>
      <c r="C25" s="25" t="n">
        <f aca="false">COUNTIF(Inventory!C4:C1003,B25)</f>
        <v>0</v>
      </c>
      <c r="D25" s="25" t="n">
        <f aca="false">COUNTIFS(Inventory!C4:C1003,B25,Inventory!G4:G1003,"In storage")</f>
        <v>0</v>
      </c>
      <c r="E25" s="25" t="n">
        <f aca="false">COUNTIFS(Inventory!C4:C1003,B25,Inventory!G4:G1003,"Out with coach")</f>
        <v>0</v>
      </c>
      <c r="F25" s="25" t="n">
        <f aca="false">COUNTIFS(Inventory!C4:C1003,B25,Inventory!G4:G1003,"Lost")</f>
        <v>0</v>
      </c>
      <c r="G25" s="25" t="n">
        <f aca="false">COUNTIFS(Inventory!C4:C1003,B25,Inventory!F4:F1003,"1 - Needs replacing")+COUNTIFS(Inventory!C4:C1003,B25,Inventory!F4:F1003,"2 - Damaged")</f>
        <v>0</v>
      </c>
    </row>
    <row r="26" customFormat="false" ht="15" hidden="false" customHeight="false" outlineLevel="0" collapsed="false">
      <c r="B26" s="24" t="s">
        <v>94</v>
      </c>
      <c r="C26" s="25" t="n">
        <f aca="false">COUNTIF(Inventory!C4:C1003,B26)</f>
        <v>0</v>
      </c>
      <c r="D26" s="25" t="n">
        <f aca="false">COUNTIFS(Inventory!C4:C1003,B26,Inventory!G4:G1003,"In storage")</f>
        <v>0</v>
      </c>
      <c r="E26" s="25" t="n">
        <f aca="false">COUNTIFS(Inventory!C4:C1003,B26,Inventory!G4:G1003,"Out with coach")</f>
        <v>0</v>
      </c>
      <c r="F26" s="25" t="n">
        <f aca="false">COUNTIFS(Inventory!C4:C1003,B26,Inventory!G4:G1003,"Lost")</f>
        <v>0</v>
      </c>
      <c r="G26" s="25" t="n">
        <f aca="false">COUNTIFS(Inventory!C4:C1003,B26,Inventory!F4:F1003,"1 - Needs replacing")+COUNTIFS(Inventory!C4:C1003,B26,Inventory!F4:F1003,"2 - Damaged")</f>
        <v>0</v>
      </c>
    </row>
    <row r="27" customFormat="false" ht="15" hidden="false" customHeight="false" outlineLevel="0" collapsed="false">
      <c r="B27" s="26" t="s">
        <v>95</v>
      </c>
      <c r="C27" s="27" t="n">
        <f aca="false">SUM(C11:C26)</f>
        <v>4</v>
      </c>
      <c r="D27" s="27" t="n">
        <f aca="false">SUM(D11:D26)</f>
        <v>3</v>
      </c>
      <c r="E27" s="27" t="n">
        <f aca="false">SUM(E11:E26)</f>
        <v>1</v>
      </c>
      <c r="F27" s="27" t="n">
        <f aca="false">SUM(F11:F26)</f>
        <v>0</v>
      </c>
      <c r="G27" s="27" t="n">
        <f aca="false">SUM(G11:G26)</f>
        <v>0</v>
      </c>
    </row>
    <row r="30" customFormat="false" ht="15" hidden="false" customHeight="false" outlineLevel="0" collapsed="false">
      <c r="B30" s="19" t="s">
        <v>96</v>
      </c>
      <c r="C30" s="19"/>
      <c r="D30" s="19"/>
      <c r="E30" s="19"/>
      <c r="F30" s="19"/>
      <c r="G30" s="19"/>
    </row>
    <row r="31" customFormat="false" ht="21.75" hidden="false" customHeight="true" outlineLevel="0" collapsed="false">
      <c r="B31" s="11" t="s">
        <v>28</v>
      </c>
      <c r="C31" s="11" t="s">
        <v>97</v>
      </c>
      <c r="D31" s="11" t="s">
        <v>40</v>
      </c>
      <c r="E31" s="11" t="s">
        <v>81</v>
      </c>
      <c r="F31" s="11" t="s">
        <v>82</v>
      </c>
      <c r="G31" s="11"/>
    </row>
    <row r="32" customFormat="false" ht="15" hidden="false" customHeight="false" outlineLevel="0" collapsed="false">
      <c r="B32" s="24" t="s">
        <v>44</v>
      </c>
      <c r="C32" s="25" t="n">
        <f aca="false">COUNTIF(Inventory!D4:D1003,B32)</f>
        <v>2</v>
      </c>
      <c r="D32" s="25" t="n">
        <f aca="false">COUNTIFS(Inventory!D4:D1003,B32,Inventory!G4:G1003,"In storage")</f>
        <v>2</v>
      </c>
      <c r="E32" s="25" t="n">
        <f aca="false">COUNTIFS(Inventory!D4:D1003,B32,Inventory!G4:G1003,"Out with coach")</f>
        <v>0</v>
      </c>
      <c r="F32" s="25" t="n">
        <f aca="false">COUNTIFS(Inventory!D4:D1003,B32,Inventory!G4:G1003,"Lost")</f>
        <v>0</v>
      </c>
    </row>
    <row r="33" customFormat="false" ht="15" hidden="false" customHeight="false" outlineLevel="0" collapsed="false">
      <c r="B33" s="24" t="s">
        <v>98</v>
      </c>
      <c r="C33" s="25" t="n">
        <f aca="false">COUNTIF(Inventory!D4:D1003,B33)</f>
        <v>0</v>
      </c>
      <c r="D33" s="25" t="n">
        <f aca="false">COUNTIFS(Inventory!D4:D1003,B33,Inventory!G4:G1003,"In storage")</f>
        <v>0</v>
      </c>
      <c r="E33" s="25" t="n">
        <f aca="false">COUNTIFS(Inventory!D4:D1003,B33,Inventory!G4:G1003,"Out with coach")</f>
        <v>0</v>
      </c>
      <c r="F33" s="25" t="n">
        <f aca="false">COUNTIFS(Inventory!D4:D1003,B33,Inventory!G4:G1003,"Lost")</f>
        <v>0</v>
      </c>
    </row>
    <row r="34" customFormat="false" ht="15" hidden="false" customHeight="false" outlineLevel="0" collapsed="false">
      <c r="B34" s="24" t="s">
        <v>99</v>
      </c>
      <c r="C34" s="25" t="n">
        <f aca="false">COUNTIF(Inventory!D4:D1003,B34)</f>
        <v>0</v>
      </c>
      <c r="D34" s="25" t="n">
        <f aca="false">COUNTIFS(Inventory!D4:D1003,B34,Inventory!G4:G1003,"In storage")</f>
        <v>0</v>
      </c>
      <c r="E34" s="25" t="n">
        <f aca="false">COUNTIFS(Inventory!D4:D1003,B34,Inventory!G4:G1003,"Out with coach")</f>
        <v>0</v>
      </c>
      <c r="F34" s="25" t="n">
        <f aca="false">COUNTIFS(Inventory!D4:D1003,B34,Inventory!G4:G1003,"Lost")</f>
        <v>0</v>
      </c>
    </row>
    <row r="35" customFormat="false" ht="15" hidden="false" customHeight="false" outlineLevel="0" collapsed="false">
      <c r="B35" s="24" t="s">
        <v>100</v>
      </c>
      <c r="C35" s="25" t="n">
        <f aca="false">COUNTIF(Inventory!D4:D1003,B35)</f>
        <v>0</v>
      </c>
      <c r="D35" s="25" t="n">
        <f aca="false">COUNTIFS(Inventory!D4:D1003,B35,Inventory!G4:G1003,"In storage")</f>
        <v>0</v>
      </c>
      <c r="E35" s="25" t="n">
        <f aca="false">COUNTIFS(Inventory!D4:D1003,B35,Inventory!G4:G1003,"Out with coach")</f>
        <v>0</v>
      </c>
      <c r="F35" s="25" t="n">
        <f aca="false">COUNTIFS(Inventory!D4:D1003,B35,Inventory!G4:G1003,"Lost")</f>
        <v>0</v>
      </c>
    </row>
    <row r="36" customFormat="false" ht="15" hidden="false" customHeight="false" outlineLevel="0" collapsed="false">
      <c r="B36" s="24" t="s">
        <v>101</v>
      </c>
      <c r="C36" s="25" t="n">
        <f aca="false">COUNTIF(Inventory!D4:D1003,B36)</f>
        <v>0</v>
      </c>
      <c r="D36" s="25" t="n">
        <f aca="false">COUNTIFS(Inventory!D4:D1003,B36,Inventory!G4:G1003,"In storage")</f>
        <v>0</v>
      </c>
      <c r="E36" s="25" t="n">
        <f aca="false">COUNTIFS(Inventory!D4:D1003,B36,Inventory!G4:G1003,"Out with coach")</f>
        <v>0</v>
      </c>
      <c r="F36" s="25" t="n">
        <f aca="false">COUNTIFS(Inventory!D4:D1003,B36,Inventory!G4:G1003,"Lost")</f>
        <v>0</v>
      </c>
    </row>
    <row r="37" customFormat="false" ht="15" hidden="false" customHeight="false" outlineLevel="0" collapsed="false">
      <c r="B37" s="24" t="s">
        <v>102</v>
      </c>
      <c r="C37" s="25" t="n">
        <f aca="false">COUNTIF(Inventory!D4:D1003,B37)</f>
        <v>0</v>
      </c>
      <c r="D37" s="25" t="n">
        <f aca="false">COUNTIFS(Inventory!D4:D1003,B37,Inventory!G4:G1003,"In storage")</f>
        <v>0</v>
      </c>
      <c r="E37" s="25" t="n">
        <f aca="false">COUNTIFS(Inventory!D4:D1003,B37,Inventory!G4:G1003,"Out with coach")</f>
        <v>0</v>
      </c>
      <c r="F37" s="25" t="n">
        <f aca="false">COUNTIFS(Inventory!D4:D1003,B37,Inventory!G4:G1003,"Lost")</f>
        <v>0</v>
      </c>
    </row>
    <row r="38" customFormat="false" ht="15" hidden="false" customHeight="false" outlineLevel="0" collapsed="false">
      <c r="B38" s="24" t="s">
        <v>49</v>
      </c>
      <c r="C38" s="25" t="n">
        <f aca="false">COUNTIF(Inventory!D4:D1003,B38)</f>
        <v>1</v>
      </c>
      <c r="D38" s="25" t="n">
        <f aca="false">COUNTIFS(Inventory!D4:D1003,B38,Inventory!G4:G1003,"In storage")</f>
        <v>0</v>
      </c>
      <c r="E38" s="25" t="n">
        <f aca="false">COUNTIFS(Inventory!D4:D1003,B38,Inventory!G4:G1003,"Out with coach")</f>
        <v>1</v>
      </c>
      <c r="F38" s="25" t="n">
        <f aca="false">COUNTIFS(Inventory!D4:D1003,B38,Inventory!G4:G1003,"Lost")</f>
        <v>0</v>
      </c>
    </row>
    <row r="39" customFormat="false" ht="15" hidden="false" customHeight="false" outlineLevel="0" collapsed="false">
      <c r="B39" s="24" t="s">
        <v>103</v>
      </c>
      <c r="C39" s="25" t="n">
        <f aca="false">COUNTIF(Inventory!D4:D1003,B39)</f>
        <v>0</v>
      </c>
      <c r="D39" s="25" t="n">
        <f aca="false">COUNTIFS(Inventory!D4:D1003,B39,Inventory!G4:G1003,"In storage")</f>
        <v>0</v>
      </c>
      <c r="E39" s="25" t="n">
        <f aca="false">COUNTIFS(Inventory!D4:D1003,B39,Inventory!G4:G1003,"Out with coach")</f>
        <v>0</v>
      </c>
      <c r="F39" s="25" t="n">
        <f aca="false">COUNTIFS(Inventory!D4:D1003,B39,Inventory!G4:G1003,"Lost")</f>
        <v>0</v>
      </c>
    </row>
    <row r="40" customFormat="false" ht="15" hidden="false" customHeight="false" outlineLevel="0" collapsed="false">
      <c r="B40" s="24" t="s">
        <v>37</v>
      </c>
      <c r="C40" s="25" t="n">
        <f aca="false">COUNTIF(Inventory!D4:D1003,B40)</f>
        <v>1</v>
      </c>
      <c r="D40" s="25" t="n">
        <f aca="false">COUNTIFS(Inventory!D4:D1003,B40,Inventory!G4:G1003,"In storage")</f>
        <v>1</v>
      </c>
      <c r="E40" s="25" t="n">
        <f aca="false">COUNTIFS(Inventory!D4:D1003,B40,Inventory!G4:G1003,"Out with coach")</f>
        <v>0</v>
      </c>
      <c r="F40" s="25" t="n">
        <f aca="false">COUNTIFS(Inventory!D4:D1003,B40,Inventory!G4:G1003,"Lost")</f>
        <v>0</v>
      </c>
    </row>
    <row r="41" customFormat="false" ht="15" hidden="false" customHeight="false" outlineLevel="0" collapsed="false">
      <c r="B41" s="24" t="s">
        <v>104</v>
      </c>
      <c r="C41" s="25" t="n">
        <f aca="false">COUNTIF(Inventory!D4:D1003,B41)</f>
        <v>0</v>
      </c>
      <c r="D41" s="25" t="n">
        <f aca="false">COUNTIFS(Inventory!D4:D1003,B41,Inventory!G4:G1003,"In storage")</f>
        <v>0</v>
      </c>
      <c r="E41" s="25" t="n">
        <f aca="false">COUNTIFS(Inventory!D4:D1003,B41,Inventory!G4:G1003,"Out with coach")</f>
        <v>0</v>
      </c>
      <c r="F41" s="25" t="n">
        <f aca="false">COUNTIFS(Inventory!D4:D1003,B41,Inventory!G4:G1003,"Lost")</f>
        <v>0</v>
      </c>
    </row>
    <row r="42" customFormat="false" ht="15" hidden="false" customHeight="false" outlineLevel="0" collapsed="false">
      <c r="B42" s="24" t="s">
        <v>105</v>
      </c>
      <c r="C42" s="25" t="n">
        <f aca="false">COUNTIF(Inventory!D4:D1003,B42)</f>
        <v>0</v>
      </c>
      <c r="D42" s="25" t="n">
        <f aca="false">COUNTIFS(Inventory!D4:D1003,B42,Inventory!G4:G1003,"In storage")</f>
        <v>0</v>
      </c>
      <c r="E42" s="25" t="n">
        <f aca="false">COUNTIFS(Inventory!D4:D1003,B42,Inventory!G4:G1003,"Out with coach")</f>
        <v>0</v>
      </c>
      <c r="F42" s="25" t="n">
        <f aca="false">COUNTIFS(Inventory!D4:D1003,B42,Inventory!G4:G1003,"Lost")</f>
        <v>0</v>
      </c>
    </row>
    <row r="43" customFormat="false" ht="15" hidden="false" customHeight="false" outlineLevel="0" collapsed="false">
      <c r="B43" s="24" t="s">
        <v>106</v>
      </c>
      <c r="C43" s="25" t="n">
        <f aca="false">COUNTIF(Inventory!D4:D1003,B43)</f>
        <v>0</v>
      </c>
      <c r="D43" s="25" t="n">
        <f aca="false">COUNTIFS(Inventory!D4:D1003,B43,Inventory!G4:G1003,"In storage")</f>
        <v>0</v>
      </c>
      <c r="E43" s="25" t="n">
        <f aca="false">COUNTIFS(Inventory!D4:D1003,B43,Inventory!G4:G1003,"Out with coach")</f>
        <v>0</v>
      </c>
      <c r="F43" s="25" t="n">
        <f aca="false">COUNTIFS(Inventory!D4:D1003,B43,Inventory!G4:G1003,"Lost")</f>
        <v>0</v>
      </c>
    </row>
    <row r="44" customFormat="false" ht="15" hidden="false" customHeight="false" outlineLevel="0" collapsed="false">
      <c r="B44" s="24" t="s">
        <v>107</v>
      </c>
      <c r="C44" s="25" t="n">
        <f aca="false">COUNTIF(Inventory!D4:D1003,B44)</f>
        <v>0</v>
      </c>
      <c r="D44" s="25" t="n">
        <f aca="false">COUNTIFS(Inventory!D4:D1003,B44,Inventory!G4:G1003,"In storage")</f>
        <v>0</v>
      </c>
      <c r="E44" s="25" t="n">
        <f aca="false">COUNTIFS(Inventory!D4:D1003,B44,Inventory!G4:G1003,"Out with coach")</f>
        <v>0</v>
      </c>
      <c r="F44" s="25" t="n">
        <f aca="false">COUNTIFS(Inventory!D4:D1003,B44,Inventory!G4:G1003,"Lost")</f>
        <v>0</v>
      </c>
    </row>
    <row r="45" customFormat="false" ht="15" hidden="false" customHeight="false" outlineLevel="0" collapsed="false">
      <c r="B45" s="24" t="s">
        <v>108</v>
      </c>
      <c r="C45" s="25" t="n">
        <f aca="false">COUNTIF(Inventory!D4:D1003,B45)</f>
        <v>0</v>
      </c>
      <c r="D45" s="25" t="n">
        <f aca="false">COUNTIFS(Inventory!D4:D1003,B45,Inventory!G4:G1003,"In storage")</f>
        <v>0</v>
      </c>
      <c r="E45" s="25" t="n">
        <f aca="false">COUNTIFS(Inventory!D4:D1003,B45,Inventory!G4:G1003,"Out with coach")</f>
        <v>0</v>
      </c>
      <c r="F45" s="25" t="n">
        <f aca="false">COUNTIFS(Inventory!D4:D1003,B45,Inventory!G4:G1003,"Lost")</f>
        <v>0</v>
      </c>
    </row>
    <row r="49" customFormat="false" ht="15" hidden="false" customHeight="false" outlineLevel="0" collapsed="false">
      <c r="B49" s="19" t="s">
        <v>109</v>
      </c>
      <c r="C49" s="19"/>
      <c r="D49" s="19"/>
      <c r="E49" s="19"/>
      <c r="F49" s="19"/>
      <c r="G49" s="19"/>
    </row>
    <row r="50" customFormat="false" ht="36" hidden="false" customHeight="true" outlineLevel="0" collapsed="false">
      <c r="B50" s="28" t="s">
        <v>110</v>
      </c>
      <c r="C50" s="28"/>
      <c r="D50" s="28"/>
      <c r="E50" s="28"/>
      <c r="F50" s="28"/>
      <c r="G50" s="28"/>
    </row>
    <row r="52" customFormat="false" ht="30" hidden="false" customHeight="true" outlineLevel="0" collapsed="false">
      <c r="B52" s="29" t="s">
        <v>111</v>
      </c>
      <c r="C52" s="29"/>
      <c r="D52" s="29"/>
      <c r="E52" s="29"/>
      <c r="F52" s="29"/>
      <c r="G52" s="29"/>
    </row>
  </sheetData>
  <mergeCells count="6">
    <mergeCell ref="B5:G5"/>
    <mergeCell ref="B9:G9"/>
    <mergeCell ref="B30:G30"/>
    <mergeCell ref="B49:G49"/>
    <mergeCell ref="B50:G50"/>
    <mergeCell ref="B52:G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4" min="4" style="0" width="22"/>
    <col collapsed="false" customWidth="true" hidden="false" outlineLevel="0" max="6" min="6" style="0" width="22"/>
    <col collapsed="false" customWidth="true" hidden="false" outlineLevel="0" max="8" min="8" style="0" width="28"/>
  </cols>
  <sheetData>
    <row r="2" customFormat="false" ht="22.05" hidden="false" customHeight="false" outlineLevel="0" collapsed="false">
      <c r="B2" s="30" t="s">
        <v>112</v>
      </c>
    </row>
    <row r="3" customFormat="false" ht="15" hidden="false" customHeight="false" outlineLevel="0" collapsed="false">
      <c r="B3" s="18" t="s">
        <v>113</v>
      </c>
    </row>
    <row r="5" customFormat="false" ht="21.75" hidden="false" customHeight="true" outlineLevel="0" collapsed="false">
      <c r="B5" s="31" t="s">
        <v>114</v>
      </c>
      <c r="D5" s="31" t="s">
        <v>115</v>
      </c>
      <c r="F5" s="31" t="s">
        <v>116</v>
      </c>
      <c r="H5" s="31" t="s">
        <v>117</v>
      </c>
    </row>
    <row r="6" customFormat="false" ht="15" hidden="false" customHeight="false" outlineLevel="0" collapsed="false">
      <c r="B6" s="32" t="s">
        <v>36</v>
      </c>
      <c r="D6" s="32" t="s">
        <v>44</v>
      </c>
      <c r="F6" s="32" t="s">
        <v>45</v>
      </c>
      <c r="H6" s="32" t="s">
        <v>40</v>
      </c>
    </row>
    <row r="7" customFormat="false" ht="15" hidden="false" customHeight="false" outlineLevel="0" collapsed="false">
      <c r="B7" s="32" t="s">
        <v>83</v>
      </c>
      <c r="D7" s="32" t="s">
        <v>98</v>
      </c>
      <c r="F7" s="32" t="s">
        <v>39</v>
      </c>
      <c r="H7" s="32" t="s">
        <v>52</v>
      </c>
    </row>
    <row r="8" customFormat="false" ht="15" hidden="false" customHeight="false" outlineLevel="0" collapsed="false">
      <c r="B8" s="32" t="s">
        <v>43</v>
      </c>
      <c r="D8" s="32" t="s">
        <v>99</v>
      </c>
      <c r="F8" s="32" t="s">
        <v>51</v>
      </c>
      <c r="H8" s="32" t="s">
        <v>82</v>
      </c>
    </row>
    <row r="9" customFormat="false" ht="15" hidden="false" customHeight="false" outlineLevel="0" collapsed="false">
      <c r="B9" s="32" t="s">
        <v>48</v>
      </c>
      <c r="D9" s="32" t="s">
        <v>100</v>
      </c>
      <c r="F9" s="32" t="s">
        <v>118</v>
      </c>
      <c r="H9" s="32" t="s">
        <v>119</v>
      </c>
    </row>
    <row r="10" customFormat="false" ht="15" hidden="false" customHeight="false" outlineLevel="0" collapsed="false">
      <c r="B10" s="32" t="s">
        <v>84</v>
      </c>
      <c r="D10" s="32" t="s">
        <v>101</v>
      </c>
      <c r="F10" s="32" t="s">
        <v>120</v>
      </c>
      <c r="H10" s="32" t="s">
        <v>121</v>
      </c>
    </row>
    <row r="11" customFormat="false" ht="15" hidden="false" customHeight="false" outlineLevel="0" collapsed="false">
      <c r="B11" s="32" t="s">
        <v>85</v>
      </c>
      <c r="D11" s="32" t="s">
        <v>102</v>
      </c>
    </row>
    <row r="12" customFormat="false" ht="15" hidden="false" customHeight="false" outlineLevel="0" collapsed="false">
      <c r="B12" s="32" t="s">
        <v>86</v>
      </c>
      <c r="D12" s="32" t="s">
        <v>49</v>
      </c>
    </row>
    <row r="13" customFormat="false" ht="15" hidden="false" customHeight="false" outlineLevel="0" collapsed="false">
      <c r="B13" s="32" t="s">
        <v>87</v>
      </c>
      <c r="D13" s="32" t="s">
        <v>103</v>
      </c>
    </row>
    <row r="14" customFormat="false" ht="15" hidden="false" customHeight="false" outlineLevel="0" collapsed="false">
      <c r="B14" s="32" t="s">
        <v>88</v>
      </c>
      <c r="D14" s="32" t="s">
        <v>37</v>
      </c>
    </row>
    <row r="15" customFormat="false" ht="15" hidden="false" customHeight="false" outlineLevel="0" collapsed="false">
      <c r="B15" s="32" t="s">
        <v>89</v>
      </c>
      <c r="D15" s="32" t="s">
        <v>104</v>
      </c>
    </row>
    <row r="16" customFormat="false" ht="15" hidden="false" customHeight="false" outlineLevel="0" collapsed="false">
      <c r="B16" s="32" t="s">
        <v>54</v>
      </c>
      <c r="D16" s="32" t="s">
        <v>105</v>
      </c>
    </row>
    <row r="17" customFormat="false" ht="15" hidden="false" customHeight="false" outlineLevel="0" collapsed="false">
      <c r="B17" s="32" t="s">
        <v>90</v>
      </c>
      <c r="D17" s="32" t="s">
        <v>106</v>
      </c>
    </row>
    <row r="18" customFormat="false" ht="15" hidden="false" customHeight="false" outlineLevel="0" collapsed="false">
      <c r="B18" s="32" t="s">
        <v>91</v>
      </c>
      <c r="D18" s="32" t="s">
        <v>107</v>
      </c>
    </row>
    <row r="19" customFormat="false" ht="15" hidden="false" customHeight="false" outlineLevel="0" collapsed="false">
      <c r="B19" s="32" t="s">
        <v>92</v>
      </c>
      <c r="D19" s="32" t="s">
        <v>108</v>
      </c>
    </row>
    <row r="20" customFormat="false" ht="15" hidden="false" customHeight="false" outlineLevel="0" collapsed="false">
      <c r="B20" s="32" t="s">
        <v>93</v>
      </c>
    </row>
    <row r="21" customFormat="false" ht="15" hidden="false" customHeight="false" outlineLevel="0" collapsed="false">
      <c r="B21" s="32" t="s">
        <v>94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2026-05-23T07:16:49Z</dcterms:created>
  <dc:creator>openpyxl</dc:creator>
  <dc:description/>
  <dc:language>en-US</dc:language>
  <cp:lastModifiedBy/>
  <dcterms:modified xsi:type="dcterms:W3CDTF">2026-05-23T07:16:50Z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